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m\Desktop\Creating Capital Reserves 2014\"/>
    </mc:Choice>
  </mc:AlternateContent>
  <bookViews>
    <workbookView xWindow="0" yWindow="0" windowWidth="20490" windowHeight="7755"/>
  </bookViews>
  <sheets>
    <sheet name="ChurchConcept" sheetId="1" r:id="rId1"/>
    <sheet name="CapitalGroups" sheetId="3" r:id="rId2"/>
    <sheet name="Summary" sheetId="4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1" i="1" l="1"/>
  <c r="D31" i="1"/>
  <c r="F31" i="1"/>
  <c r="G31" i="1"/>
  <c r="D30" i="1"/>
  <c r="D29" i="1"/>
  <c r="D28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A13" i="4"/>
  <c r="A12" i="4"/>
  <c r="A11" i="4"/>
  <c r="A10" i="4"/>
  <c r="A9" i="4"/>
  <c r="A8" i="4"/>
  <c r="A7" i="4"/>
  <c r="A6" i="4"/>
  <c r="A5" i="4"/>
  <c r="A4" i="4"/>
  <c r="J23" i="1"/>
  <c r="J27" i="1"/>
  <c r="J31" i="1"/>
  <c r="J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5" i="1"/>
  <c r="I21" i="1"/>
  <c r="J21" i="1"/>
  <c r="I22" i="1"/>
  <c r="J22" i="1"/>
  <c r="I23" i="1"/>
  <c r="I24" i="1"/>
  <c r="J24" i="1"/>
  <c r="I25" i="1"/>
  <c r="J25" i="1"/>
  <c r="I26" i="1"/>
  <c r="J26" i="1"/>
  <c r="I27" i="1"/>
  <c r="I28" i="1"/>
  <c r="J28" i="1"/>
  <c r="I29" i="1"/>
  <c r="J29" i="1"/>
  <c r="I30" i="1"/>
  <c r="J30" i="1"/>
  <c r="I20" i="1"/>
  <c r="J20" i="1"/>
  <c r="G18" i="1"/>
  <c r="I18" i="1"/>
  <c r="J18" i="1"/>
  <c r="D56" i="1"/>
  <c r="I19" i="1"/>
  <c r="J19" i="1"/>
  <c r="G19" i="1"/>
  <c r="I17" i="1"/>
  <c r="J17" i="1"/>
  <c r="G17" i="1"/>
  <c r="I16" i="1"/>
  <c r="J16" i="1"/>
  <c r="G16" i="1"/>
  <c r="I15" i="1"/>
  <c r="J15" i="1"/>
  <c r="G15" i="1"/>
  <c r="I14" i="1"/>
  <c r="J14" i="1"/>
  <c r="G14" i="1"/>
  <c r="I13" i="1"/>
  <c r="J13" i="1"/>
  <c r="G13" i="1"/>
  <c r="I12" i="1"/>
  <c r="J12" i="1"/>
  <c r="G12" i="1"/>
  <c r="I11" i="1"/>
  <c r="J11" i="1"/>
  <c r="G11" i="1"/>
  <c r="I10" i="1"/>
  <c r="J10" i="1"/>
  <c r="G10" i="1"/>
  <c r="I9" i="1"/>
  <c r="J9" i="1"/>
  <c r="G9" i="1"/>
  <c r="I8" i="1"/>
  <c r="J8" i="1"/>
  <c r="G8" i="1"/>
  <c r="I7" i="1"/>
  <c r="J7" i="1"/>
  <c r="G7" i="1"/>
  <c r="I6" i="1"/>
  <c r="J6" i="1"/>
  <c r="G6" i="1"/>
  <c r="I5" i="1"/>
  <c r="G5" i="1"/>
  <c r="I4" i="1"/>
  <c r="J5" i="1"/>
  <c r="D13" i="4"/>
  <c r="F56" i="1"/>
  <c r="G56" i="1"/>
  <c r="D12" i="4"/>
  <c r="D7" i="4"/>
  <c r="D8" i="4"/>
  <c r="D10" i="4"/>
  <c r="D9" i="4"/>
  <c r="D11" i="4"/>
  <c r="B12" i="4"/>
  <c r="B6" i="4"/>
  <c r="B5" i="4"/>
  <c r="B8" i="4"/>
  <c r="B7" i="4"/>
  <c r="B10" i="4"/>
  <c r="B9" i="4"/>
  <c r="B11" i="4"/>
  <c r="B13" i="4"/>
  <c r="B4" i="4"/>
  <c r="C12" i="4"/>
  <c r="C9" i="4"/>
  <c r="C10" i="4"/>
  <c r="C7" i="4"/>
  <c r="C8" i="4"/>
  <c r="C5" i="4"/>
  <c r="C6" i="4"/>
  <c r="C4" i="4"/>
  <c r="C13" i="4"/>
  <c r="C11" i="4"/>
  <c r="E13" i="4"/>
  <c r="E11" i="4"/>
  <c r="E9" i="4"/>
  <c r="E7" i="4"/>
  <c r="E5" i="4"/>
  <c r="E12" i="4"/>
  <c r="E10" i="4"/>
  <c r="E8" i="4"/>
  <c r="E6" i="4"/>
  <c r="E4" i="4"/>
  <c r="D4" i="4"/>
  <c r="D5" i="4"/>
  <c r="D6" i="4"/>
  <c r="E15" i="4"/>
  <c r="D15" i="4"/>
  <c r="C15" i="4"/>
  <c r="B15" i="4"/>
  <c r="F13" i="4"/>
  <c r="F11" i="4"/>
  <c r="F9" i="4"/>
  <c r="F7" i="4"/>
  <c r="F5" i="4"/>
  <c r="F12" i="4"/>
  <c r="F10" i="4"/>
  <c r="F8" i="4"/>
  <c r="F6" i="4"/>
  <c r="F4" i="4"/>
  <c r="F15" i="4"/>
  <c r="G13" i="4"/>
  <c r="G11" i="4"/>
  <c r="G9" i="4"/>
  <c r="G7" i="4"/>
  <c r="G5" i="4"/>
  <c r="G12" i="4"/>
  <c r="G10" i="4"/>
  <c r="G8" i="4"/>
  <c r="G6" i="4"/>
  <c r="G4" i="4"/>
  <c r="G15" i="4"/>
  <c r="H5" i="4"/>
  <c r="H12" i="4"/>
  <c r="H10" i="4"/>
  <c r="H8" i="4"/>
  <c r="H6" i="4"/>
  <c r="H4" i="4"/>
  <c r="H9" i="4"/>
  <c r="H7" i="4"/>
  <c r="H13" i="4"/>
  <c r="H11" i="4"/>
  <c r="I12" i="4"/>
  <c r="I10" i="4"/>
  <c r="I8" i="4"/>
  <c r="I6" i="4"/>
  <c r="I4" i="4"/>
  <c r="I13" i="4"/>
  <c r="I11" i="4"/>
  <c r="I9" i="4"/>
  <c r="I7" i="4"/>
  <c r="I5" i="4"/>
  <c r="H15" i="4"/>
  <c r="J12" i="4"/>
  <c r="J10" i="4"/>
  <c r="J8" i="4"/>
  <c r="J6" i="4"/>
  <c r="J4" i="4"/>
  <c r="J13" i="4"/>
  <c r="J11" i="4"/>
  <c r="J9" i="4"/>
  <c r="J7" i="4"/>
  <c r="J5" i="4"/>
  <c r="I15" i="4"/>
  <c r="K12" i="4"/>
  <c r="K10" i="4"/>
  <c r="K8" i="4"/>
  <c r="K6" i="4"/>
  <c r="K4" i="4"/>
  <c r="K13" i="4"/>
  <c r="K11" i="4"/>
  <c r="K9" i="4"/>
  <c r="K7" i="4"/>
  <c r="K5" i="4"/>
  <c r="J15" i="4"/>
  <c r="L10" i="4"/>
  <c r="L8" i="4"/>
  <c r="L6" i="4"/>
  <c r="L12" i="4"/>
  <c r="L13" i="4"/>
  <c r="L11" i="4"/>
  <c r="L9" i="4"/>
  <c r="L7" i="4"/>
  <c r="L5" i="4"/>
  <c r="L4" i="4"/>
  <c r="K15" i="4"/>
  <c r="L15" i="4"/>
  <c r="M13" i="4"/>
  <c r="M11" i="4"/>
  <c r="M9" i="4"/>
  <c r="M7" i="4"/>
  <c r="M5" i="4"/>
  <c r="M12" i="4"/>
  <c r="M10" i="4"/>
  <c r="M8" i="4"/>
  <c r="M6" i="4"/>
  <c r="M4" i="4"/>
  <c r="M15" i="4"/>
  <c r="N13" i="4"/>
  <c r="N11" i="4"/>
  <c r="N9" i="4"/>
  <c r="N7" i="4"/>
  <c r="N5" i="4"/>
  <c r="N12" i="4"/>
  <c r="N10" i="4"/>
  <c r="N8" i="4"/>
  <c r="N6" i="4"/>
  <c r="N4" i="4"/>
  <c r="N15" i="4"/>
  <c r="O13" i="4"/>
  <c r="O11" i="4"/>
  <c r="O9" i="4"/>
  <c r="O7" i="4"/>
  <c r="O5" i="4"/>
  <c r="O12" i="4"/>
  <c r="O10" i="4"/>
  <c r="O8" i="4"/>
  <c r="O6" i="4"/>
  <c r="O4" i="4"/>
  <c r="O15" i="4"/>
  <c r="P13" i="4"/>
  <c r="P9" i="4"/>
  <c r="P7" i="4"/>
  <c r="P12" i="4"/>
  <c r="P10" i="4"/>
  <c r="P8" i="4"/>
  <c r="P6" i="4"/>
  <c r="P4" i="4"/>
  <c r="P11" i="4"/>
  <c r="P5" i="4"/>
  <c r="P15" i="4"/>
  <c r="Q12" i="4"/>
  <c r="Q10" i="4"/>
  <c r="Q8" i="4"/>
  <c r="Q6" i="4"/>
  <c r="Q4" i="4"/>
  <c r="Q13" i="4"/>
  <c r="Q11" i="4"/>
  <c r="Q9" i="4"/>
  <c r="Q7" i="4"/>
  <c r="Q5" i="4"/>
  <c r="R12" i="4"/>
  <c r="R10" i="4"/>
  <c r="R8" i="4"/>
  <c r="R6" i="4"/>
  <c r="R4" i="4"/>
  <c r="R13" i="4"/>
  <c r="R11" i="4"/>
  <c r="R9" i="4"/>
  <c r="R7" i="4"/>
  <c r="R5" i="4"/>
  <c r="Q15" i="4"/>
  <c r="S12" i="4"/>
  <c r="T12" i="4"/>
  <c r="S10" i="4"/>
  <c r="T10" i="4"/>
  <c r="S8" i="4"/>
  <c r="T8" i="4"/>
  <c r="S6" i="4"/>
  <c r="T6" i="4"/>
  <c r="S4" i="4"/>
  <c r="S13" i="4"/>
  <c r="T13" i="4"/>
  <c r="S11" i="4"/>
  <c r="T11" i="4"/>
  <c r="S9" i="4"/>
  <c r="T9" i="4"/>
  <c r="S7" i="4"/>
  <c r="T7" i="4"/>
  <c r="S5" i="4"/>
  <c r="T5" i="4"/>
  <c r="R15" i="4"/>
  <c r="S15" i="4"/>
  <c r="T4" i="4"/>
  <c r="T15" i="4"/>
</calcChain>
</file>

<file path=xl/sharedStrings.xml><?xml version="1.0" encoding="utf-8"?>
<sst xmlns="http://schemas.openxmlformats.org/spreadsheetml/2006/main" count="119" uniqueCount="88">
  <si>
    <t>LIFE CYCLE/ Capital Reserve Calculator</t>
  </si>
  <si>
    <t>INFLATION FACTOR PER YEAR</t>
  </si>
  <si>
    <t>CHURCH NAME:</t>
  </si>
  <si>
    <t>Item/System</t>
  </si>
  <si>
    <t>Location &amp; other notes (bldg, room, area, etc)</t>
  </si>
  <si>
    <t>Current Replacement Value</t>
  </si>
  <si>
    <t>Years</t>
  </si>
  <si>
    <r>
      <t xml:space="preserve">Projected Total Replacement Cost   </t>
    </r>
    <r>
      <rPr>
        <b/>
        <sz val="9"/>
        <color theme="1"/>
        <rFont val="Calibri"/>
        <family val="2"/>
        <scheme val="minor"/>
      </rPr>
      <t>(calculated)</t>
    </r>
  </si>
  <si>
    <r>
      <t xml:space="preserve">Amount to be budgetted annually </t>
    </r>
    <r>
      <rPr>
        <b/>
        <sz val="9"/>
        <color theme="1"/>
        <rFont val="Calibri"/>
        <family val="2"/>
        <scheme val="minor"/>
      </rPr>
      <t xml:space="preserve"> (calculated)</t>
    </r>
  </si>
  <si>
    <r>
      <t xml:space="preserve">Installation date (m/yy) </t>
    </r>
    <r>
      <rPr>
        <b/>
        <sz val="8"/>
        <color theme="1"/>
        <rFont val="Calibri"/>
        <family val="2"/>
        <scheme val="minor"/>
      </rPr>
      <t>(OPTIONAL)</t>
    </r>
  </si>
  <si>
    <r>
      <t xml:space="preserve">Estimated replacement date </t>
    </r>
    <r>
      <rPr>
        <b/>
        <sz val="8"/>
        <color theme="1"/>
        <rFont val="Calibri"/>
        <family val="2"/>
        <scheme val="minor"/>
      </rPr>
      <t>(CALCULATED)</t>
    </r>
  </si>
  <si>
    <t>TOTAL</t>
  </si>
  <si>
    <t>Carpeting</t>
  </si>
  <si>
    <t>Sanctuary</t>
  </si>
  <si>
    <t>1047 sq/yds</t>
  </si>
  <si>
    <t>A - Rooms</t>
  </si>
  <si>
    <t>378 sq/yds</t>
  </si>
  <si>
    <t>C - Chapel</t>
  </si>
  <si>
    <t>406 sq/yds</t>
  </si>
  <si>
    <t>C - Parlor 307/309</t>
  </si>
  <si>
    <t>240 sq/yds</t>
  </si>
  <si>
    <t>C - Parlor 317/319</t>
  </si>
  <si>
    <t>C- Nursery</t>
  </si>
  <si>
    <t>836 sq/yds</t>
  </si>
  <si>
    <t>D- Rooms</t>
  </si>
  <si>
    <t>467 sq/yds</t>
  </si>
  <si>
    <t>E - Rooms</t>
  </si>
  <si>
    <t>1122 sq/yds</t>
  </si>
  <si>
    <t>F - Office</t>
  </si>
  <si>
    <t>1893 sq/yds carpet squares</t>
  </si>
  <si>
    <t>A - Library</t>
  </si>
  <si>
    <t>306 sq/yds</t>
  </si>
  <si>
    <t>A - Hallway</t>
  </si>
  <si>
    <t>526 sq/yds</t>
  </si>
  <si>
    <t>C - Hallway</t>
  </si>
  <si>
    <t>622 sq/yds</t>
  </si>
  <si>
    <t>D - Hallway</t>
  </si>
  <si>
    <t>311 sq/yds</t>
  </si>
  <si>
    <t>E - Hallway</t>
  </si>
  <si>
    <t>289 sq/yds</t>
  </si>
  <si>
    <t>F- Hallway</t>
  </si>
  <si>
    <t>183 sq/yds</t>
  </si>
  <si>
    <t>1778 sq/yds</t>
  </si>
  <si>
    <t>Hallway - Main</t>
  </si>
  <si>
    <t>Hallway - Middle School/Library</t>
  </si>
  <si>
    <t>520 sq yds</t>
  </si>
  <si>
    <t>Hallway - Sanctuary Narthex</t>
  </si>
  <si>
    <t>Equipment</t>
  </si>
  <si>
    <t>HVAC</t>
  </si>
  <si>
    <t>Parking Lot</t>
  </si>
  <si>
    <t>Vehicles</t>
  </si>
  <si>
    <t>Total</t>
  </si>
  <si>
    <t>Replacement Year</t>
  </si>
  <si>
    <t>Capital Group</t>
  </si>
  <si>
    <t>Group Name</t>
  </si>
  <si>
    <t>Description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</si>
  <si>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</si>
  <si>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</si>
  <si>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</si>
  <si>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</si>
  <si>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</si>
  <si>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</si>
  <si>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</si>
  <si>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</si>
  <si>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</si>
  <si>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</si>
  <si>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</si>
  <si>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</si>
  <si>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</si>
  <si>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</si>
  <si>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</si>
  <si>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</si>
  <si>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</si>
  <si>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</si>
  <si>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Sanctuary unit 1</t>
  </si>
  <si>
    <t>20 ton</t>
  </si>
  <si>
    <t>Sanctuary unit 2</t>
  </si>
  <si>
    <t>21 ton</t>
  </si>
  <si>
    <t>Sanctuary unit 3</t>
  </si>
  <si>
    <t>22 ton</t>
  </si>
  <si>
    <t>Sancuary chairs</t>
  </si>
  <si>
    <t>1200 seats @ $70/per</t>
  </si>
  <si>
    <t>Tables 5' round</t>
  </si>
  <si>
    <t>15 @ $85/ea</t>
  </si>
  <si>
    <t>Tables 6' round</t>
  </si>
  <si>
    <t>25 @ $90/ea</t>
  </si>
  <si>
    <t>Tables 5' rect</t>
  </si>
  <si>
    <t>10 @ 55/ea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</si>
</sst>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mm\-yyyy"/>
    <numFmt numFmtId="167" formatCode="[$-409]mmm\-yy;@"/>
    <numFmt numFmtId="168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horizontal="center"/>
      <protection locked="0"/>
    </xf>
    <xf numFmtId="166" fontId="0" fillId="0" borderId="8" xfId="0" applyNumberFormat="1" applyBorder="1" applyAlignment="1" applyProtection="1">
      <alignment horizontal="center"/>
      <protection locked="0"/>
    </xf>
    <xf numFmtId="167" fontId="0" fillId="0" borderId="8" xfId="0" applyNumberFormat="1" applyBorder="1" applyAlignment="1">
      <alignment horizontal="center"/>
    </xf>
    <xf numFmtId="0" fontId="7" fillId="2" borderId="8" xfId="0" applyFont="1" applyFill="1" applyBorder="1"/>
    <xf numFmtId="0" fontId="0" fillId="2" borderId="8" xfId="0" applyFill="1" applyBorder="1"/>
    <xf numFmtId="0" fontId="0" fillId="0" borderId="6" xfId="0" applyBorder="1" applyAlignment="1" applyProtection="1">
      <alignment wrapText="1"/>
      <protection locked="0"/>
    </xf>
    <xf numFmtId="168" fontId="0" fillId="0" borderId="8" xfId="1" applyNumberFormat="1" applyFont="1" applyBorder="1" applyAlignment="1">
      <alignment horizontal="right"/>
    </xf>
    <xf numFmtId="168" fontId="2" fillId="2" borderId="8" xfId="1" applyNumberFormat="1" applyFont="1" applyFill="1" applyBorder="1"/>
    <xf numFmtId="0" fontId="2" fillId="0" borderId="7" xfId="0" applyFont="1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horizontal="center"/>
      <protection locked="0"/>
    </xf>
    <xf numFmtId="165" fontId="2" fillId="0" borderId="8" xfId="0" applyNumberFormat="1" applyFont="1" applyBorder="1" applyAlignment="1">
      <alignment horizontal="right"/>
    </xf>
    <xf numFmtId="166" fontId="2" fillId="0" borderId="8" xfId="0" applyNumberFormat="1" applyFont="1" applyBorder="1" applyAlignment="1" applyProtection="1">
      <alignment horizontal="center"/>
      <protection locked="0"/>
    </xf>
    <xf numFmtId="167" fontId="2" fillId="0" borderId="8" xfId="0" applyNumberFormat="1" applyFont="1" applyBorder="1" applyAlignment="1">
      <alignment horizontal="center"/>
    </xf>
    <xf numFmtId="0" fontId="0" fillId="0" borderId="7" xfId="0" applyBorder="1" applyAlignment="1" applyProtection="1">
      <alignment horizontal="left" wrapText="1" indent="1"/>
      <protection locked="0"/>
    </xf>
    <xf numFmtId="0" fontId="0" fillId="0" borderId="6" xfId="0" applyBorder="1" applyAlignment="1" applyProtection="1">
      <alignment horizontal="left" wrapText="1" indent="1"/>
      <protection locked="0"/>
    </xf>
    <xf numFmtId="0" fontId="2" fillId="0" borderId="6" xfId="0" applyFont="1" applyBorder="1" applyAlignment="1" applyProtection="1">
      <alignment wrapText="1"/>
      <protection locked="0"/>
    </xf>
    <xf numFmtId="168" fontId="2" fillId="0" borderId="8" xfId="1" applyNumberFormat="1" applyFont="1" applyBorder="1" applyAlignment="1">
      <alignment horizontal="right"/>
    </xf>
    <xf numFmtId="0" fontId="2" fillId="0" borderId="0" xfId="0" applyFont="1"/>
    <xf numFmtId="168" fontId="0" fillId="0" borderId="0" xfId="1" applyNumberFormat="1" applyFont="1"/>
    <xf numFmtId="0" fontId="2" fillId="0" borderId="3" xfId="0" applyFont="1" applyBorder="1" applyAlignment="1" applyProtection="1">
      <alignment wrapText="1"/>
      <protection locked="0"/>
    </xf>
    <xf numFmtId="165" fontId="0" fillId="0" borderId="8" xfId="1" applyNumberFormat="1" applyFont="1" applyBorder="1" applyAlignment="1">
      <alignment horizontal="right"/>
    </xf>
    <xf numFmtId="165" fontId="2" fillId="0" borderId="4" xfId="0" applyNumberFormat="1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165" fontId="2" fillId="0" borderId="4" xfId="0" applyNumberFormat="1" applyFont="1" applyBorder="1" applyAlignment="1">
      <alignment horizontal="right"/>
    </xf>
    <xf numFmtId="168" fontId="2" fillId="0" borderId="9" xfId="1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5" borderId="8" xfId="0" applyFill="1" applyBorder="1"/>
    <xf numFmtId="0" fontId="0" fillId="6" borderId="8" xfId="0" applyFill="1" applyBorder="1"/>
    <xf numFmtId="0" fontId="9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10" xfId="0" applyBorder="1"/>
    <xf numFmtId="168" fontId="0" fillId="0" borderId="10" xfId="1" applyNumberFormat="1" applyFont="1" applyBorder="1"/>
    <xf numFmtId="168" fontId="2" fillId="0" borderId="10" xfId="0" applyNumberFormat="1" applyFont="1" applyBorder="1"/>
    <xf numFmtId="0" fontId="3" fillId="7" borderId="1" xfId="0" applyFont="1" applyFill="1" applyBorder="1" applyAlignment="1">
      <alignment horizontal="right" vertical="center"/>
    </xf>
    <xf numFmtId="0" fontId="3" fillId="7" borderId="2" xfId="0" applyFont="1" applyFill="1" applyBorder="1" applyAlignment="1">
      <alignment horizontal="right" vertical="center"/>
    </xf>
    <xf numFmtId="0" fontId="3" fillId="7" borderId="3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11" fillId="4" borderId="5" xfId="0" applyFont="1" applyFill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(&quot;$&quot;* #,##0_);_(&quot;$&quot;* \(#,##0\);_(&quot;$&quot;* &quot;-&quot;??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(&quot;$&quot;* #,##0_);_(&quot;$&quot;* \(#,##0\);_(&quot;$&quot;* &quot;-&quot;??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(&quot;$&quot;* #,##0_);_(&quot;$&quot;* \(#,##0\);_(&quot;$&quot;* &quot;-&quot;??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(&quot;$&quot;* #,##0_);_(&quot;$&quot;* \(#,##0\);_(&quot;$&quot;* &quot;-&quot;??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(&quot;$&quot;* #,##0_);_(&quot;$&quot;* \(#,##0\);_(&quot;$&quot;* &quot;-&quot;??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(&quot;$&quot;* #,##0_);_(&quot;$&quot;* \(#,##0\);_(&quot;$&quot;* &quot;-&quot;??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(&quot;$&quot;* #,##0_);_(&quot;$&quot;* \(#,##0\);_(&quot;$&quot;* &quot;-&quot;??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(&quot;$&quot;* #,##0_);_(&quot;$&quot;* \(#,##0\);_(&quot;$&quot;* &quot;-&quot;??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(&quot;$&quot;* #,##0_);_(&quot;$&quot;* \(#,##0\);_(&quot;$&quot;* &quot;-&quot;??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(&quot;$&quot;* #,##0_);_(&quot;$&quot;* \(#,##0\);_(&quot;$&quot;* &quot;-&quot;??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(&quot;$&quot;* #,##0_);_(&quot;$&quot;* \(#,##0\);_(&quot;$&quot;* &quot;-&quot;??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(&quot;$&quot;* #,##0_);_(&quot;$&quot;* \(#,##0\);_(&quot;$&quot;* &quot;-&quot;??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(&quot;$&quot;* #,##0_);_(&quot;$&quot;* \(#,##0\);_(&quot;$&quot;* &quot;-&quot;??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(&quot;$&quot;* #,##0_);_(&quot;$&quot;* \(#,##0\);_(&quot;$&quot;* &quot;-&quot;??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(&quot;$&quot;* #,##0_);_(&quot;$&quot;* \(#,##0\);_(&quot;$&quot;* &quot;-&quot;??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(&quot;$&quot;* #,##0_);_(&quot;$&quot;* \(#,##0\);_(&quot;$&quot;* &quot;-&quot;??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(&quot;$&quot;* #,##0_);_(&quot;$&quot;* \(#,##0\);_(&quot;$&quot;* &quot;-&quot;??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(&quot;$&quot;* #,##0_);_(&quot;$&quot;* \(#,##0\);_(&quot;$&quot;* &quot;-&quot;??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(&quot;$&quot;* #,##0_);_(&quot;$&quot;* \(#,##0\);_(&quot;$&quot;* &quot;-&quot;??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numFmt numFmtId="0" formatCode="General"/>
    </dxf>
    <dxf>
      <numFmt numFmtId="167" formatCode="[$-409]mmm\-yy;@"/>
    </dxf>
    <dxf>
      <protection locked="0" hidden="0"/>
    </dxf>
    <dxf>
      <numFmt numFmtId="165" formatCode="&quot;$&quot;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5" formatCode="&quot;$&quot;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4</xdr:col>
      <xdr:colOff>304800</xdr:colOff>
      <xdr:row>1</xdr:row>
      <xdr:rowOff>57150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575"/>
          <a:ext cx="4048125" cy="7715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3:J55" totalsRowShown="0" headerRowDxfId="35" headerRowBorderDxfId="34" tableBorderDxfId="33" totalsRowBorderDxfId="32">
  <tableColumns count="10">
    <tableColumn id="10" name="Capital Group" dataDxfId="31"/>
    <tableColumn id="1" name="Item/System" dataDxfId="30"/>
    <tableColumn id="8" name="Location &amp; other notes (bldg, room, area, etc)" dataDxfId="29"/>
    <tableColumn id="2" name="Current Replacement Value" dataDxfId="28"/>
    <tableColumn id="3" name="Years" dataDxfId="27"/>
    <tableColumn id="4" name="Projected Total Replacement Cost   (calculated)" dataDxfId="26">
      <calculatedColumnFormula>IF(AND(D4&gt;0,E4=0),"enter years",IF(AND(D4=0,E4&gt;0),"enter repl value",IF(AND(D4=0,E4=0),"    -  ",(D4*$E$4)*E4+D4)))</calculatedColumnFormula>
    </tableColumn>
    <tableColumn id="5" name="Amount to be budgetted annually  (calculated)" dataDxfId="25">
      <calculatedColumnFormula>IF(OR(D4=0,E4=0,F4=0),"-  ",F4/E4)</calculatedColumnFormula>
    </tableColumn>
    <tableColumn id="6" name="Installation date (m/yy) (OPTIONAL)" dataDxfId="24"/>
    <tableColumn id="7" name="Estimated replacement date (CALCULATED)" dataDxfId="23">
      <calculatedColumnFormula>IF(Table1[[#This Row],[Installation date (m/yy) (OPTIONAL)]]=0,"",MONTH(Table1[[#This Row],[Installation date (m/yy) (OPTIONAL)]])&amp;"-"&amp;YEAR(Table1[[#This Row],[Installation date (m/yy) (OPTIONAL)]])+Table1[[#This Row],[Years]])</calculatedColumnFormula>
    </tableColumn>
    <tableColumn id="9" name="Replacement Year" dataDxfId="22">
      <calculatedColumnFormula>IF(E4=0,"",YEAR(Table1[[#This Row],[Estimated replacement date (CALCULATED)]]))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3:T15" totalsRowShown="0" headerRowDxfId="21" dataDxfId="20" dataCellStyle="Currency">
  <autoFilter ref="A3:T15"/>
  <tableColumns count="20">
    <tableColumn id="1" name="Capital Group" dataDxfId="19"/>
    <tableColumn id="2" name="2011" dataDxfId="18" dataCellStyle="Currency"/>
    <tableColumn id="3" name="2012" dataDxfId="17" dataCellStyle="Currency"/>
    <tableColumn id="4" name="2013" dataDxfId="16" dataCellStyle="Currency"/>
    <tableColumn id="5" name="2014" dataDxfId="15" dataCellStyle="Currency"/>
    <tableColumn id="6" name="2015" dataDxfId="14" dataCellStyle="Currency"/>
    <tableColumn id="7" name="2016" dataDxfId="13" dataCellStyle="Currency"/>
    <tableColumn id="8" name="2017" dataDxfId="12" dataCellStyle="Currency"/>
    <tableColumn id="9" name="2018" dataDxfId="11" dataCellStyle="Currency"/>
    <tableColumn id="10" name="2019" dataDxfId="10" dataCellStyle="Currency"/>
    <tableColumn id="11" name="2020" dataDxfId="9" dataCellStyle="Currency"/>
    <tableColumn id="12" name="2021" dataDxfId="8" dataCellStyle="Currency"/>
    <tableColumn id="13" name="2022" dataDxfId="7" dataCellStyle="Currency"/>
    <tableColumn id="14" name="2023" dataDxfId="6" dataCellStyle="Currency"/>
    <tableColumn id="15" name="2024" dataDxfId="5" dataCellStyle="Currency"/>
    <tableColumn id="16" name="2025" dataDxfId="4" dataCellStyle="Currency"/>
    <tableColumn id="17" name="2026" dataDxfId="3" dataCellStyle="Currency"/>
    <tableColumn id="18" name="2027" dataDxfId="2" dataCellStyle="Currency"/>
    <tableColumn id="19" name="2028" dataDxfId="1" dataCellStyle="Currency"/>
    <tableColumn id="20" name="Tot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56"/>
  <sheetViews>
    <sheetView tabSelected="1" workbookViewId="0">
      <pane ySplit="3" topLeftCell="A19" activePane="bottomLeft" state="frozen"/>
      <selection activeCell="E35" sqref="E35"/>
      <selection pane="bottomLeft" activeCell="J1" sqref="J1"/>
    </sheetView>
  </sheetViews>
  <sheetFormatPr defaultColWidth="8.85546875" defaultRowHeight="15" x14ac:dyDescent="0.25"/>
  <cols>
    <col min="1" max="1" width="14.7109375" customWidth="1"/>
    <col min="2" max="2" width="17.7109375" customWidth="1"/>
    <col min="3" max="3" width="25.140625" customWidth="1"/>
    <col min="4" max="4" width="13.42578125" customWidth="1"/>
    <col min="5" max="5" width="5.85546875" bestFit="1" customWidth="1"/>
    <col min="6" max="6" width="15.140625" bestFit="1" customWidth="1"/>
    <col min="7" max="9" width="12.7109375" customWidth="1"/>
    <col min="12" max="12" width="13" customWidth="1"/>
    <col min="13" max="13" width="16.42578125" customWidth="1"/>
    <col min="14" max="14" width="10.85546875" customWidth="1"/>
    <col min="16" max="16" width="9.85546875" customWidth="1"/>
    <col min="26" max="27" width="10" bestFit="1" customWidth="1"/>
    <col min="29" max="29" width="10" bestFit="1" customWidth="1"/>
    <col min="32" max="32" width="11.42578125" bestFit="1" customWidth="1"/>
  </cols>
  <sheetData>
    <row r="1" spans="1:10" ht="58.5" customHeight="1" x14ac:dyDescent="0.25">
      <c r="B1" s="43" t="s">
        <v>0</v>
      </c>
      <c r="C1" s="44"/>
      <c r="D1" s="44"/>
      <c r="E1" s="44"/>
      <c r="F1" s="44"/>
      <c r="G1" s="44"/>
      <c r="H1" s="44"/>
      <c r="I1" s="45"/>
    </row>
    <row r="2" spans="1:10" ht="15.75" x14ac:dyDescent="0.25">
      <c r="B2" s="46" t="s">
        <v>1</v>
      </c>
      <c r="C2" s="47"/>
      <c r="D2" s="48"/>
      <c r="E2" s="1">
        <v>0.03</v>
      </c>
      <c r="F2" s="2" t="s">
        <v>2</v>
      </c>
      <c r="G2" s="49"/>
      <c r="H2" s="50"/>
      <c r="I2" s="51"/>
    </row>
    <row r="3" spans="1:10" ht="72" x14ac:dyDescent="0.25">
      <c r="A3" s="32" t="s">
        <v>53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4" t="s">
        <v>10</v>
      </c>
      <c r="J3" s="32" t="s">
        <v>52</v>
      </c>
    </row>
    <row r="4" spans="1:10" x14ac:dyDescent="0.25">
      <c r="B4" s="15" t="s">
        <v>12</v>
      </c>
      <c r="C4" s="26"/>
      <c r="D4" s="28"/>
      <c r="E4" s="29"/>
      <c r="F4" s="30"/>
      <c r="G4" s="17"/>
      <c r="H4" s="18"/>
      <c r="I4" s="1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4" t="str">
        <f>IF(E4=0,"",YEAR(Table1[[#This Row],[Estimated replacement date (CALCULATED)]]))</f>
        <v/>
      </c>
    </row>
    <row r="5" spans="1:10" x14ac:dyDescent="0.25">
      <c r="A5" s="33" t="s">
        <v>12</v>
      </c>
      <c r="B5" s="20" t="s">
        <v>13</v>
      </c>
      <c r="C5" s="6" t="s">
        <v>14</v>
      </c>
      <c r="D5" s="13">
        <v>70000</v>
      </c>
      <c r="E5" s="7">
        <v>15</v>
      </c>
      <c r="F5" s="27">
        <f>FV($E$2,E5,0,-D5)</f>
        <v>109057.71916205352</v>
      </c>
      <c r="G5" s="13">
        <f t="shared" ref="G5:G19" si="0">IF(OR(D5=0,E5=0,F5=0),"-  ",F5/E5)</f>
        <v>7270.5146108035678</v>
      </c>
      <c r="H5" s="8">
        <v>35796</v>
      </c>
      <c r="I5" s="9" t="str">
        <f>IF(Table1[[#This Row],[Installation date (m/yy) (OPTIONAL)]]=0,"",MONTH(Table1[[#This Row],[Installation date (m/yy) (OPTIONAL)]])&amp;"-"&amp;YEAR(Table1[[#This Row],[Installation date (m/yy) (OPTIONAL)]])+Table1[[#This Row],[Years]])</f>
        <v>1-2013</v>
      </c>
      <c r="J5" s="34">
        <f>IF(E5=0,"",YEAR(Table1[[#This Row],[Estimated replacement date (CALCULATED)]]))</f>
        <v>2013</v>
      </c>
    </row>
    <row r="6" spans="1:10" x14ac:dyDescent="0.25">
      <c r="A6" s="33" t="s">
        <v>12</v>
      </c>
      <c r="B6" s="20" t="s">
        <v>15</v>
      </c>
      <c r="C6" s="6" t="s">
        <v>16</v>
      </c>
      <c r="D6" s="13">
        <v>25000</v>
      </c>
      <c r="E6" s="7">
        <v>13</v>
      </c>
      <c r="F6" s="27">
        <f t="shared" ref="F6:F31" si="1">FV($E$2,E6,0,-D6)</f>
        <v>36713.342836289099</v>
      </c>
      <c r="G6" s="13">
        <f t="shared" si="0"/>
        <v>2824.1032950991616</v>
      </c>
      <c r="H6" s="8">
        <v>35796</v>
      </c>
      <c r="I6" s="9" t="str">
        <f>IF(Table1[[#This Row],[Installation date (m/yy) (OPTIONAL)]]=0,"",MONTH(Table1[[#This Row],[Installation date (m/yy) (OPTIONAL)]])&amp;"-"&amp;YEAR(Table1[[#This Row],[Installation date (m/yy) (OPTIONAL)]])+Table1[[#This Row],[Years]])</f>
        <v>1-2011</v>
      </c>
      <c r="J6" s="34">
        <f>IF(E6=0,"",YEAR(Table1[[#This Row],[Estimated replacement date (CALCULATED)]]))</f>
        <v>2011</v>
      </c>
    </row>
    <row r="7" spans="1:10" x14ac:dyDescent="0.25">
      <c r="A7" s="33" t="s">
        <v>12</v>
      </c>
      <c r="B7" s="20" t="s">
        <v>17</v>
      </c>
      <c r="C7" s="6" t="s">
        <v>18</v>
      </c>
      <c r="D7" s="13">
        <v>28000</v>
      </c>
      <c r="E7" s="7">
        <v>5</v>
      </c>
      <c r="F7" s="27">
        <f t="shared" si="1"/>
        <v>32459.674080399996</v>
      </c>
      <c r="G7" s="13">
        <f t="shared" si="0"/>
        <v>6491.9348160799991</v>
      </c>
      <c r="H7" s="8">
        <v>39814</v>
      </c>
      <c r="I7" s="9" t="str">
        <f>IF(Table1[[#This Row],[Installation date (m/yy) (OPTIONAL)]]=0,"",MONTH(Table1[[#This Row],[Installation date (m/yy) (OPTIONAL)]])&amp;"-"&amp;YEAR(Table1[[#This Row],[Installation date (m/yy) (OPTIONAL)]])+Table1[[#This Row],[Years]])</f>
        <v>1-2014</v>
      </c>
      <c r="J7" s="34">
        <f>IF(E7=0,"",YEAR(Table1[[#This Row],[Estimated replacement date (CALCULATED)]]))</f>
        <v>2014</v>
      </c>
    </row>
    <row r="8" spans="1:10" x14ac:dyDescent="0.25">
      <c r="A8" s="33" t="s">
        <v>12</v>
      </c>
      <c r="B8" s="20" t="s">
        <v>19</v>
      </c>
      <c r="C8" s="6" t="s">
        <v>20</v>
      </c>
      <c r="D8" s="13">
        <v>15000</v>
      </c>
      <c r="E8" s="7">
        <v>15</v>
      </c>
      <c r="F8" s="27">
        <f t="shared" si="1"/>
        <v>23369.511249011466</v>
      </c>
      <c r="G8" s="13">
        <f t="shared" si="0"/>
        <v>1557.9674166007644</v>
      </c>
      <c r="H8" s="8">
        <v>35796</v>
      </c>
      <c r="I8" s="9" t="str">
        <f>IF(Table1[[#This Row],[Installation date (m/yy) (OPTIONAL)]]=0,"",MONTH(Table1[[#This Row],[Installation date (m/yy) (OPTIONAL)]])&amp;"-"&amp;YEAR(Table1[[#This Row],[Installation date (m/yy) (OPTIONAL)]])+Table1[[#This Row],[Years]])</f>
        <v>1-2013</v>
      </c>
      <c r="J8" s="34">
        <f>IF(E8=0,"",YEAR(Table1[[#This Row],[Estimated replacement date (CALCULATED)]]))</f>
        <v>2013</v>
      </c>
    </row>
    <row r="9" spans="1:10" x14ac:dyDescent="0.25">
      <c r="A9" s="33" t="s">
        <v>12</v>
      </c>
      <c r="B9" s="20" t="s">
        <v>21</v>
      </c>
      <c r="C9" s="6" t="s">
        <v>20</v>
      </c>
      <c r="D9" s="13">
        <v>16000</v>
      </c>
      <c r="E9" s="7">
        <v>25</v>
      </c>
      <c r="F9" s="27">
        <f t="shared" si="1"/>
        <v>33500.446874467423</v>
      </c>
      <c r="G9" s="13">
        <f t="shared" si="0"/>
        <v>1340.0178749786969</v>
      </c>
      <c r="H9" s="8">
        <v>35796</v>
      </c>
      <c r="I9" s="9" t="str">
        <f>IF(Table1[[#This Row],[Installation date (m/yy) (OPTIONAL)]]=0,"",MONTH(Table1[[#This Row],[Installation date (m/yy) (OPTIONAL)]])&amp;"-"&amp;YEAR(Table1[[#This Row],[Installation date (m/yy) (OPTIONAL)]])+Table1[[#This Row],[Years]])</f>
        <v>1-2023</v>
      </c>
      <c r="J9" s="34">
        <f>IF(E9=0,"",YEAR(Table1[[#This Row],[Estimated replacement date (CALCULATED)]]))</f>
        <v>2023</v>
      </c>
    </row>
    <row r="10" spans="1:10" x14ac:dyDescent="0.25">
      <c r="A10" s="33" t="s">
        <v>12</v>
      </c>
      <c r="B10" s="20" t="s">
        <v>22</v>
      </c>
      <c r="C10" s="6" t="s">
        <v>23</v>
      </c>
      <c r="D10" s="13">
        <v>58000</v>
      </c>
      <c r="E10" s="7">
        <v>25</v>
      </c>
      <c r="F10" s="27">
        <f t="shared" si="1"/>
        <v>121439.11991994441</v>
      </c>
      <c r="G10" s="13">
        <f t="shared" si="0"/>
        <v>4857.5647967977766</v>
      </c>
      <c r="H10" s="8">
        <v>35796</v>
      </c>
      <c r="I10" s="9" t="str">
        <f>IF(Table1[[#This Row],[Installation date (m/yy) (OPTIONAL)]]=0,"",MONTH(Table1[[#This Row],[Installation date (m/yy) (OPTIONAL)]])&amp;"-"&amp;YEAR(Table1[[#This Row],[Installation date (m/yy) (OPTIONAL)]])+Table1[[#This Row],[Years]])</f>
        <v>1-2023</v>
      </c>
      <c r="J10" s="34">
        <f>IF(E10=0,"",YEAR(Table1[[#This Row],[Estimated replacement date (CALCULATED)]]))</f>
        <v>2023</v>
      </c>
    </row>
    <row r="11" spans="1:10" x14ac:dyDescent="0.25">
      <c r="A11" s="33" t="s">
        <v>12</v>
      </c>
      <c r="B11" s="20" t="s">
        <v>24</v>
      </c>
      <c r="C11" s="6" t="s">
        <v>25</v>
      </c>
      <c r="D11" s="13">
        <v>32000</v>
      </c>
      <c r="E11" s="7">
        <v>20</v>
      </c>
      <c r="F11" s="27">
        <f t="shared" si="1"/>
        <v>57795.559509421226</v>
      </c>
      <c r="G11" s="13">
        <f t="shared" si="0"/>
        <v>2889.7779754710614</v>
      </c>
      <c r="H11" s="8">
        <v>35796</v>
      </c>
      <c r="I11" s="9" t="str">
        <f>IF(Table1[[#This Row],[Installation date (m/yy) (OPTIONAL)]]=0,"",MONTH(Table1[[#This Row],[Installation date (m/yy) (OPTIONAL)]])&amp;"-"&amp;YEAR(Table1[[#This Row],[Installation date (m/yy) (OPTIONAL)]])+Table1[[#This Row],[Years]])</f>
        <v>1-2018</v>
      </c>
      <c r="J11" s="34">
        <f>IF(E11=0,"",YEAR(Table1[[#This Row],[Estimated replacement date (CALCULATED)]]))</f>
        <v>2018</v>
      </c>
    </row>
    <row r="12" spans="1:10" x14ac:dyDescent="0.25">
      <c r="A12" s="33" t="s">
        <v>12</v>
      </c>
      <c r="B12" s="20" t="s">
        <v>26</v>
      </c>
      <c r="C12" s="6" t="s">
        <v>27</v>
      </c>
      <c r="D12" s="13">
        <v>74000</v>
      </c>
      <c r="E12" s="7">
        <v>15</v>
      </c>
      <c r="F12" s="27">
        <f t="shared" si="1"/>
        <v>115289.58882845657</v>
      </c>
      <c r="G12" s="13">
        <f>IF(OR(D12=0,E12=0,F12=0),"-  ",F12/E12)</f>
        <v>7685.9725885637718</v>
      </c>
      <c r="H12" s="8">
        <v>35796</v>
      </c>
      <c r="I12" s="9" t="str">
        <f>IF(Table1[[#This Row],[Installation date (m/yy) (OPTIONAL)]]=0,"",MONTH(Table1[[#This Row],[Installation date (m/yy) (OPTIONAL)]])&amp;"-"&amp;YEAR(Table1[[#This Row],[Installation date (m/yy) (OPTIONAL)]])+Table1[[#This Row],[Years]])</f>
        <v>1-2013</v>
      </c>
      <c r="J12" s="34">
        <f>IF(E12=0,"",YEAR(Table1[[#This Row],[Estimated replacement date (CALCULATED)]]))</f>
        <v>2013</v>
      </c>
    </row>
    <row r="13" spans="1:10" x14ac:dyDescent="0.25">
      <c r="A13" s="33" t="s">
        <v>12</v>
      </c>
      <c r="B13" s="20" t="s">
        <v>28</v>
      </c>
      <c r="C13" s="6" t="s">
        <v>29</v>
      </c>
      <c r="D13" s="13">
        <v>68000</v>
      </c>
      <c r="E13" s="7">
        <v>20</v>
      </c>
      <c r="F13" s="27">
        <f t="shared" si="1"/>
        <v>122815.56395752011</v>
      </c>
      <c r="G13" s="13">
        <f t="shared" si="0"/>
        <v>6140.7781978760049</v>
      </c>
      <c r="H13" s="8">
        <v>37987</v>
      </c>
      <c r="I13" s="9" t="str">
        <f>IF(Table1[[#This Row],[Installation date (m/yy) (OPTIONAL)]]=0,"",MONTH(Table1[[#This Row],[Installation date (m/yy) (OPTIONAL)]])&amp;"-"&amp;YEAR(Table1[[#This Row],[Installation date (m/yy) (OPTIONAL)]])+Table1[[#This Row],[Years]])</f>
        <v>1-2024</v>
      </c>
      <c r="J13" s="34">
        <f>IF(E13=0,"",YEAR(Table1[[#This Row],[Estimated replacement date (CALCULATED)]]))</f>
        <v>2024</v>
      </c>
    </row>
    <row r="14" spans="1:10" x14ac:dyDescent="0.25">
      <c r="A14" s="33" t="s">
        <v>12</v>
      </c>
      <c r="B14" s="20" t="s">
        <v>30</v>
      </c>
      <c r="C14" s="6" t="s">
        <v>31</v>
      </c>
      <c r="D14" s="13">
        <v>20000</v>
      </c>
      <c r="E14" s="7">
        <v>25</v>
      </c>
      <c r="F14" s="27">
        <f t="shared" si="1"/>
        <v>41875.558593084279</v>
      </c>
      <c r="G14" s="13">
        <f t="shared" si="0"/>
        <v>1675.0223437233713</v>
      </c>
      <c r="H14" s="8">
        <v>35796</v>
      </c>
      <c r="I14" s="9" t="str">
        <f>IF(Table1[[#This Row],[Installation date (m/yy) (OPTIONAL)]]=0,"",MONTH(Table1[[#This Row],[Installation date (m/yy) (OPTIONAL)]])&amp;"-"&amp;YEAR(Table1[[#This Row],[Installation date (m/yy) (OPTIONAL)]])+Table1[[#This Row],[Years]])</f>
        <v>1-2023</v>
      </c>
      <c r="J14" s="34">
        <f>IF(E14=0,"",YEAR(Table1[[#This Row],[Estimated replacement date (CALCULATED)]]))</f>
        <v>2023</v>
      </c>
    </row>
    <row r="15" spans="1:10" x14ac:dyDescent="0.25">
      <c r="A15" s="33" t="s">
        <v>12</v>
      </c>
      <c r="B15" s="20" t="s">
        <v>32</v>
      </c>
      <c r="C15" s="6" t="s">
        <v>33</v>
      </c>
      <c r="D15" s="13">
        <v>35000</v>
      </c>
      <c r="E15" s="7">
        <v>20</v>
      </c>
      <c r="F15" s="27">
        <f t="shared" si="1"/>
        <v>63213.893213429466</v>
      </c>
      <c r="G15" s="13">
        <f t="shared" si="0"/>
        <v>3160.6946606714732</v>
      </c>
      <c r="H15" s="8">
        <v>38718</v>
      </c>
      <c r="I15" s="9" t="str">
        <f>IF(Table1[[#This Row],[Installation date (m/yy) (OPTIONAL)]]=0,"",MONTH(Table1[[#This Row],[Installation date (m/yy) (OPTIONAL)]])&amp;"-"&amp;YEAR(Table1[[#This Row],[Installation date (m/yy) (OPTIONAL)]])+Table1[[#This Row],[Years]])</f>
        <v>1-2026</v>
      </c>
      <c r="J15" s="34">
        <f>IF(E15=0,"",YEAR(Table1[[#This Row],[Estimated replacement date (CALCULATED)]]))</f>
        <v>2026</v>
      </c>
    </row>
    <row r="16" spans="1:10" x14ac:dyDescent="0.25">
      <c r="A16" s="33" t="s">
        <v>12</v>
      </c>
      <c r="B16" s="20" t="s">
        <v>34</v>
      </c>
      <c r="C16" s="6" t="s">
        <v>35</v>
      </c>
      <c r="D16" s="13">
        <v>41000</v>
      </c>
      <c r="E16" s="7">
        <v>20</v>
      </c>
      <c r="F16" s="27">
        <f t="shared" si="1"/>
        <v>74050.56062144594</v>
      </c>
      <c r="G16" s="13">
        <f t="shared" si="0"/>
        <v>3702.5280310722969</v>
      </c>
      <c r="H16" s="8">
        <v>38718</v>
      </c>
      <c r="I16" s="9" t="str">
        <f>IF(Table1[[#This Row],[Installation date (m/yy) (OPTIONAL)]]=0,"",MONTH(Table1[[#This Row],[Installation date (m/yy) (OPTIONAL)]])&amp;"-"&amp;YEAR(Table1[[#This Row],[Installation date (m/yy) (OPTIONAL)]])+Table1[[#This Row],[Years]])</f>
        <v>1-2026</v>
      </c>
      <c r="J16" s="34">
        <f>IF(E16=0,"",YEAR(Table1[[#This Row],[Estimated replacement date (CALCULATED)]]))</f>
        <v>2026</v>
      </c>
    </row>
    <row r="17" spans="1:16" x14ac:dyDescent="0.25">
      <c r="A17" s="33" t="s">
        <v>12</v>
      </c>
      <c r="B17" s="20" t="s">
        <v>36</v>
      </c>
      <c r="C17" s="6" t="s">
        <v>37</v>
      </c>
      <c r="D17" s="13">
        <v>21000</v>
      </c>
      <c r="E17" s="7">
        <v>20</v>
      </c>
      <c r="F17" s="27">
        <f t="shared" si="1"/>
        <v>37928.335928057677</v>
      </c>
      <c r="G17" s="13">
        <f t="shared" si="0"/>
        <v>1896.4167964028838</v>
      </c>
      <c r="H17" s="8">
        <v>38718</v>
      </c>
      <c r="I17" s="9" t="str">
        <f>IF(Table1[[#This Row],[Installation date (m/yy) (OPTIONAL)]]=0,"",MONTH(Table1[[#This Row],[Installation date (m/yy) (OPTIONAL)]])&amp;"-"&amp;YEAR(Table1[[#This Row],[Installation date (m/yy) (OPTIONAL)]])+Table1[[#This Row],[Years]])</f>
        <v>1-2026</v>
      </c>
      <c r="J17" s="34">
        <f>IF(E17=0,"",YEAR(Table1[[#This Row],[Estimated replacement date (CALCULATED)]]))</f>
        <v>2026</v>
      </c>
      <c r="M17" s="25"/>
      <c r="N17" s="25"/>
      <c r="O17" s="25"/>
      <c r="P17" s="25"/>
    </row>
    <row r="18" spans="1:16" x14ac:dyDescent="0.25">
      <c r="A18" s="33" t="s">
        <v>12</v>
      </c>
      <c r="B18" s="20" t="s">
        <v>38</v>
      </c>
      <c r="C18" s="6" t="s">
        <v>39</v>
      </c>
      <c r="D18" s="13">
        <v>20000</v>
      </c>
      <c r="E18" s="7">
        <v>20</v>
      </c>
      <c r="F18" s="27">
        <f t="shared" si="1"/>
        <v>36122.224693388263</v>
      </c>
      <c r="G18" s="13">
        <f>IF(OR(D18=0,E18=0,F18=0),"-  ",F18/E18)</f>
        <v>1806.1112346694131</v>
      </c>
      <c r="H18" s="8">
        <v>38718</v>
      </c>
      <c r="I18" s="9" t="str">
        <f>IF(Table1[[#This Row],[Installation date (m/yy) (OPTIONAL)]]=0,"",MONTH(Table1[[#This Row],[Installation date (m/yy) (OPTIONAL)]])&amp;"-"&amp;YEAR(Table1[[#This Row],[Installation date (m/yy) (OPTIONAL)]])+Table1[[#This Row],[Years]])</f>
        <v>1-2026</v>
      </c>
      <c r="J18" s="34">
        <f>IF(E18=0,"",YEAR(Table1[[#This Row],[Estimated replacement date (CALCULATED)]]))</f>
        <v>2026</v>
      </c>
      <c r="M18" s="25"/>
      <c r="N18" s="25"/>
      <c r="O18" s="25"/>
      <c r="P18" s="25"/>
    </row>
    <row r="19" spans="1:16" x14ac:dyDescent="0.25">
      <c r="A19" s="33" t="s">
        <v>12</v>
      </c>
      <c r="B19" s="20" t="s">
        <v>40</v>
      </c>
      <c r="C19" s="6" t="s">
        <v>41</v>
      </c>
      <c r="D19" s="13">
        <v>12000</v>
      </c>
      <c r="E19" s="7">
        <v>15</v>
      </c>
      <c r="F19" s="27">
        <f t="shared" si="1"/>
        <v>18695.608999209173</v>
      </c>
      <c r="G19" s="13">
        <f t="shared" si="0"/>
        <v>1246.3739332806115</v>
      </c>
      <c r="H19" s="8">
        <v>38718</v>
      </c>
      <c r="I19" s="9" t="str">
        <f>IF(Table1[[#This Row],[Installation date (m/yy) (OPTIONAL)]]=0,"",MONTH(Table1[[#This Row],[Installation date (m/yy) (OPTIONAL)]])&amp;"-"&amp;YEAR(Table1[[#This Row],[Installation date (m/yy) (OPTIONAL)]])+Table1[[#This Row],[Years]])</f>
        <v>1-2021</v>
      </c>
      <c r="J19" s="34">
        <f>IF(E19=0,"",YEAR(Table1[[#This Row],[Estimated replacement date (CALCULATED)]]))</f>
        <v>2021</v>
      </c>
      <c r="M19" s="25"/>
      <c r="N19" s="25"/>
      <c r="O19" s="25"/>
      <c r="P19" s="25"/>
    </row>
    <row r="20" spans="1:16" x14ac:dyDescent="0.25">
      <c r="A20" s="33" t="s">
        <v>12</v>
      </c>
      <c r="B20" s="21" t="s">
        <v>43</v>
      </c>
      <c r="C20" s="6" t="s">
        <v>42</v>
      </c>
      <c r="D20" s="13">
        <v>125000</v>
      </c>
      <c r="E20" s="7">
        <v>20</v>
      </c>
      <c r="F20" s="27">
        <f t="shared" si="1"/>
        <v>225763.90433367665</v>
      </c>
      <c r="G20" s="13">
        <f>IF(OR(D20=0,E20=0,F20=0),"-  ",F20/E20)</f>
        <v>11288.195216683833</v>
      </c>
      <c r="H20" s="8">
        <v>38718</v>
      </c>
      <c r="I20" s="9" t="str">
        <f>IF(Table1[[#This Row],[Installation date (m/yy) (OPTIONAL)]]=0,"",MONTH(Table1[[#This Row],[Installation date (m/yy) (OPTIONAL)]])&amp;"-"&amp;YEAR(Table1[[#This Row],[Installation date (m/yy) (OPTIONAL)]])+Table1[[#This Row],[Years]])</f>
        <v>1-2026</v>
      </c>
      <c r="J20" s="34">
        <f>IF(E20=0,"",YEAR(Table1[[#This Row],[Estimated replacement date (CALCULATED)]]))</f>
        <v>2026</v>
      </c>
      <c r="M20" s="25"/>
      <c r="N20" s="25"/>
      <c r="O20" s="25"/>
      <c r="P20" s="25"/>
    </row>
    <row r="21" spans="1:16" ht="30" x14ac:dyDescent="0.25">
      <c r="A21" s="33" t="s">
        <v>12</v>
      </c>
      <c r="B21" s="21" t="s">
        <v>44</v>
      </c>
      <c r="C21" s="6" t="s">
        <v>45</v>
      </c>
      <c r="D21" s="13">
        <v>35000</v>
      </c>
      <c r="E21" s="7">
        <v>20</v>
      </c>
      <c r="F21" s="27">
        <f t="shared" si="1"/>
        <v>63213.893213429466</v>
      </c>
      <c r="G21" s="13">
        <f>IF(OR(D21=0,E21=0,F21=0),"-  ",F21/E21)</f>
        <v>3160.6946606714732</v>
      </c>
      <c r="H21" s="8">
        <v>38718</v>
      </c>
      <c r="I21" s="9" t="str">
        <f>IF(Table1[[#This Row],[Installation date (m/yy) (OPTIONAL)]]=0,"",MONTH(Table1[[#This Row],[Installation date (m/yy) (OPTIONAL)]])&amp;"-"&amp;YEAR(Table1[[#This Row],[Installation date (m/yy) (OPTIONAL)]])+Table1[[#This Row],[Years]])</f>
        <v>1-2026</v>
      </c>
      <c r="J21" s="34">
        <f>IF(E21=0,"",YEAR(Table1[[#This Row],[Estimated replacement date (CALCULATED)]]))</f>
        <v>2026</v>
      </c>
      <c r="M21" s="25"/>
      <c r="N21" s="25"/>
      <c r="O21" s="25"/>
      <c r="P21" s="25"/>
    </row>
    <row r="22" spans="1:16" ht="45" x14ac:dyDescent="0.25">
      <c r="A22" s="33" t="s">
        <v>12</v>
      </c>
      <c r="B22" s="21" t="s">
        <v>46</v>
      </c>
      <c r="C22" s="6" t="s">
        <v>45</v>
      </c>
      <c r="D22" s="13">
        <v>35000</v>
      </c>
      <c r="E22" s="7">
        <v>20</v>
      </c>
      <c r="F22" s="27">
        <f t="shared" si="1"/>
        <v>63213.893213429466</v>
      </c>
      <c r="G22" s="13">
        <f>IF(OR(D22=0,E22=0,F22=0),"-  ",F22/E22)</f>
        <v>3160.6946606714732</v>
      </c>
      <c r="H22" s="8">
        <v>38718</v>
      </c>
      <c r="I22" s="9" t="str">
        <f>IF(Table1[[#This Row],[Installation date (m/yy) (OPTIONAL)]]=0,"",MONTH(Table1[[#This Row],[Installation date (m/yy) (OPTIONAL)]])&amp;"-"&amp;YEAR(Table1[[#This Row],[Installation date (m/yy) (OPTIONAL)]])+Table1[[#This Row],[Years]])</f>
        <v>1-2026</v>
      </c>
      <c r="J22" s="34">
        <f>IF(E22=0,"",YEAR(Table1[[#This Row],[Estimated replacement date (CALCULATED)]]))</f>
        <v>2026</v>
      </c>
      <c r="M22" s="25"/>
      <c r="N22" s="25"/>
      <c r="O22" s="25"/>
      <c r="P22" s="25"/>
    </row>
    <row r="23" spans="1:16" s="24" customFormat="1" x14ac:dyDescent="0.25">
      <c r="A23" s="33"/>
      <c r="B23" s="22" t="s">
        <v>48</v>
      </c>
      <c r="C23" s="22"/>
      <c r="D23" s="23"/>
      <c r="E23" s="16"/>
      <c r="F23" s="23">
        <f t="shared" si="1"/>
        <v>0</v>
      </c>
      <c r="G23" s="23" t="str">
        <f t="shared" ref="G23:G31" si="2">IF(OR(D23=0,E23=0,F23=0),"-  ",F23/E23)</f>
        <v xml:space="preserve">-  </v>
      </c>
      <c r="H23" s="18"/>
      <c r="I23" s="1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23" s="34" t="str">
        <f>IF(E23=0,"",YEAR(Table1[[#This Row],[Estimated replacement date (CALCULATED)]]))</f>
        <v/>
      </c>
      <c r="K23"/>
      <c r="L23"/>
    </row>
    <row r="24" spans="1:16" x14ac:dyDescent="0.25">
      <c r="A24" s="33" t="s">
        <v>48</v>
      </c>
      <c r="B24" s="12" t="s">
        <v>74</v>
      </c>
      <c r="C24" s="12" t="s">
        <v>75</v>
      </c>
      <c r="D24" s="13">
        <v>45000</v>
      </c>
      <c r="E24" s="7">
        <v>15</v>
      </c>
      <c r="F24" s="13">
        <f t="shared" si="1"/>
        <v>70108.533747034395</v>
      </c>
      <c r="G24" s="13">
        <f t="shared" si="2"/>
        <v>4673.9022498022932</v>
      </c>
      <c r="H24" s="8">
        <v>37043</v>
      </c>
      <c r="I24" s="9" t="str">
        <f>IF(Table1[[#This Row],[Installation date (m/yy) (OPTIONAL)]]=0,"",MONTH(Table1[[#This Row],[Installation date (m/yy) (OPTIONAL)]])&amp;"-"&amp;YEAR(Table1[[#This Row],[Installation date (m/yy) (OPTIONAL)]])+Table1[[#This Row],[Years]])</f>
        <v>6-2016</v>
      </c>
      <c r="J24" s="34">
        <f>IF(E24=0,"",YEAR(Table1[[#This Row],[Estimated replacement date (CALCULATED)]]))</f>
        <v>2016</v>
      </c>
    </row>
    <row r="25" spans="1:16" x14ac:dyDescent="0.25">
      <c r="A25" s="33" t="s">
        <v>48</v>
      </c>
      <c r="B25" s="12" t="s">
        <v>76</v>
      </c>
      <c r="C25" s="12" t="s">
        <v>77</v>
      </c>
      <c r="D25" s="13">
        <v>45001</v>
      </c>
      <c r="E25" s="7">
        <v>15</v>
      </c>
      <c r="F25" s="13">
        <f t="shared" si="1"/>
        <v>70110.091714451002</v>
      </c>
      <c r="G25" s="13">
        <f t="shared" si="2"/>
        <v>4674.0061142967334</v>
      </c>
      <c r="H25" s="8">
        <v>37043</v>
      </c>
      <c r="I25" s="9" t="str">
        <f>IF(Table1[[#This Row],[Installation date (m/yy) (OPTIONAL)]]=0,"",MONTH(Table1[[#This Row],[Installation date (m/yy) (OPTIONAL)]])&amp;"-"&amp;YEAR(Table1[[#This Row],[Installation date (m/yy) (OPTIONAL)]])+Table1[[#This Row],[Years]])</f>
        <v>6-2016</v>
      </c>
      <c r="J25" s="34">
        <f>IF(E25=0,"",YEAR(Table1[[#This Row],[Estimated replacement date (CALCULATED)]]))</f>
        <v>2016</v>
      </c>
    </row>
    <row r="26" spans="1:16" x14ac:dyDescent="0.25">
      <c r="A26" s="33" t="s">
        <v>48</v>
      </c>
      <c r="B26" s="12" t="s">
        <v>78</v>
      </c>
      <c r="C26" s="12" t="s">
        <v>79</v>
      </c>
      <c r="D26" s="13">
        <v>45002</v>
      </c>
      <c r="E26" s="7">
        <v>15</v>
      </c>
      <c r="F26" s="13">
        <f t="shared" si="1"/>
        <v>70111.649681867595</v>
      </c>
      <c r="G26" s="13">
        <f t="shared" si="2"/>
        <v>4674.1099787911726</v>
      </c>
      <c r="H26" s="8">
        <v>37043</v>
      </c>
      <c r="I26" s="9" t="str">
        <f>IF(Table1[[#This Row],[Installation date (m/yy) (OPTIONAL)]]=0,"",MONTH(Table1[[#This Row],[Installation date (m/yy) (OPTIONAL)]])&amp;"-"&amp;YEAR(Table1[[#This Row],[Installation date (m/yy) (OPTIONAL)]])+Table1[[#This Row],[Years]])</f>
        <v>6-2016</v>
      </c>
      <c r="J26" s="34">
        <f>IF(E26=0,"",YEAR(Table1[[#This Row],[Estimated replacement date (CALCULATED)]]))</f>
        <v>2016</v>
      </c>
    </row>
    <row r="27" spans="1:16" x14ac:dyDescent="0.25">
      <c r="A27" s="33"/>
      <c r="B27" s="22" t="s">
        <v>47</v>
      </c>
      <c r="C27" s="12"/>
      <c r="D27" s="13"/>
      <c r="E27" s="7"/>
      <c r="F27" s="13">
        <f t="shared" si="1"/>
        <v>0</v>
      </c>
      <c r="G27" s="13" t="str">
        <f t="shared" si="2"/>
        <v xml:space="preserve">-  </v>
      </c>
      <c r="H27" s="8"/>
      <c r="I27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27" s="34" t="str">
        <f>IF(E27=0,"",YEAR(Table1[[#This Row],[Estimated replacement date (CALCULATED)]]))</f>
        <v/>
      </c>
    </row>
    <row r="28" spans="1:16" x14ac:dyDescent="0.25">
      <c r="A28" s="33" t="s">
        <v>47</v>
      </c>
      <c r="B28" s="12" t="s">
        <v>80</v>
      </c>
      <c r="C28" s="12" t="s">
        <v>81</v>
      </c>
      <c r="D28" s="13">
        <f>1200*70</f>
        <v>84000</v>
      </c>
      <c r="E28" s="7">
        <v>25</v>
      </c>
      <c r="F28" s="13">
        <f t="shared" si="1"/>
        <v>175877.34609095397</v>
      </c>
      <c r="G28" s="13">
        <f t="shared" si="2"/>
        <v>7035.0938436381584</v>
      </c>
      <c r="H28" s="8">
        <v>35827</v>
      </c>
      <c r="I28" s="9" t="str">
        <f>IF(Table1[[#This Row],[Installation date (m/yy) (OPTIONAL)]]=0,"",MONTH(Table1[[#This Row],[Installation date (m/yy) (OPTIONAL)]])&amp;"-"&amp;YEAR(Table1[[#This Row],[Installation date (m/yy) (OPTIONAL)]])+Table1[[#This Row],[Years]])</f>
        <v>2-2023</v>
      </c>
      <c r="J28" s="34">
        <f>IF(E28=0,"",YEAR(Table1[[#This Row],[Estimated replacement date (CALCULATED)]]))</f>
        <v>2023</v>
      </c>
    </row>
    <row r="29" spans="1:16" x14ac:dyDescent="0.25">
      <c r="A29" s="33" t="s">
        <v>47</v>
      </c>
      <c r="B29" s="12" t="s">
        <v>82</v>
      </c>
      <c r="C29" s="12" t="s">
        <v>83</v>
      </c>
      <c r="D29" s="13">
        <f>15*85</f>
        <v>1275</v>
      </c>
      <c r="E29" s="7">
        <v>8</v>
      </c>
      <c r="F29" s="13">
        <f t="shared" si="1"/>
        <v>1615.1318537692102</v>
      </c>
      <c r="G29" s="13">
        <f t="shared" si="2"/>
        <v>201.89148172115128</v>
      </c>
      <c r="H29" s="8">
        <v>36617</v>
      </c>
      <c r="I29" s="9" t="str">
        <f>IF(Table1[[#This Row],[Installation date (m/yy) (OPTIONAL)]]=0,"",MONTH(Table1[[#This Row],[Installation date (m/yy) (OPTIONAL)]])&amp;"-"&amp;YEAR(Table1[[#This Row],[Installation date (m/yy) (OPTIONAL)]])+Table1[[#This Row],[Years]])</f>
        <v>4-2008</v>
      </c>
      <c r="J29" s="34">
        <f>IF(E29=0,"",YEAR(Table1[[#This Row],[Estimated replacement date (CALCULATED)]]))</f>
        <v>2008</v>
      </c>
    </row>
    <row r="30" spans="1:16" x14ac:dyDescent="0.25">
      <c r="A30" s="33" t="s">
        <v>47</v>
      </c>
      <c r="B30" s="12" t="s">
        <v>84</v>
      </c>
      <c r="C30" s="12" t="s">
        <v>85</v>
      </c>
      <c r="D30" s="13">
        <f>90*25</f>
        <v>2250</v>
      </c>
      <c r="E30" s="7">
        <v>8</v>
      </c>
      <c r="F30" s="13">
        <f t="shared" si="1"/>
        <v>2850.2326831221358</v>
      </c>
      <c r="G30" s="13">
        <f t="shared" si="2"/>
        <v>356.27908539026697</v>
      </c>
      <c r="H30" s="8">
        <v>36617</v>
      </c>
      <c r="I30" s="9" t="str">
        <f>IF(Table1[[#This Row],[Installation date (m/yy) (OPTIONAL)]]=0,"",MONTH(Table1[[#This Row],[Installation date (m/yy) (OPTIONAL)]])&amp;"-"&amp;YEAR(Table1[[#This Row],[Installation date (m/yy) (OPTIONAL)]])+Table1[[#This Row],[Years]])</f>
        <v>4-2008</v>
      </c>
      <c r="J30" s="34">
        <f>IF(E30=0,"",YEAR(Table1[[#This Row],[Estimated replacement date (CALCULATED)]]))</f>
        <v>2008</v>
      </c>
    </row>
    <row r="31" spans="1:16" x14ac:dyDescent="0.25">
      <c r="A31" s="33" t="s">
        <v>47</v>
      </c>
      <c r="B31" s="12" t="s">
        <v>86</v>
      </c>
      <c r="C31" t="s">
        <v>87</v>
      </c>
      <c r="D31" s="13">
        <f>10*55</f>
        <v>550</v>
      </c>
      <c r="E31" s="7">
        <v>5</v>
      </c>
      <c r="F31" s="13">
        <f t="shared" si="1"/>
        <v>637.60074086499992</v>
      </c>
      <c r="G31" s="13">
        <f t="shared" si="2"/>
        <v>127.52014817299998</v>
      </c>
      <c r="H31" s="8">
        <v>40391</v>
      </c>
      <c r="I31" s="9" t="str">
        <f>IF(Table1[[#This Row],[Installation date (m/yy) (OPTIONAL)]]=0,"",MONTH(Table1[[#This Row],[Installation date (m/yy) (OPTIONAL)]])&amp;"-"&amp;YEAR(Table1[[#This Row],[Installation date (m/yy) (OPTIONAL)]])+Table1[[#This Row],[Years]])</f>
        <v>8-2015</v>
      </c>
      <c r="J31" s="34">
        <f>IF(E31=0,"",YEAR(Table1[[#This Row],[Estimated replacement date (CALCULATED)]]))</f>
        <v>2015</v>
      </c>
    </row>
    <row r="32" spans="1:16" x14ac:dyDescent="0.25">
      <c r="A32" s="33"/>
      <c r="B32" s="12"/>
      <c r="C32" s="12"/>
      <c r="D32" s="13"/>
      <c r="E32" s="7"/>
      <c r="F32" s="13" t="str">
        <f t="shared" ref="F32:F55" si="3">IF(AND(D32&gt;0,E32=0),"enter years",IF(AND(D32=0,E32&gt;0),"enter repl value",IF(AND(D32=0,E32=0),"    -  ",(D32*$E$4)*E32+D32)))</f>
        <v xml:space="preserve">    -  </v>
      </c>
      <c r="G32" s="13" t="str">
        <f t="shared" ref="G32:G55" si="4">IF(OR(D32=0,E32=0,F32=0),"-  ",F32/E32)</f>
        <v xml:space="preserve">-  </v>
      </c>
      <c r="H32" s="8"/>
      <c r="I32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32" s="34" t="str">
        <f>IF(E32=0,"",YEAR(Table1[[#This Row],[Estimated replacement date (CALCULATED)]]))</f>
        <v/>
      </c>
    </row>
    <row r="33" spans="1:10" x14ac:dyDescent="0.25">
      <c r="A33" s="33"/>
      <c r="B33" s="12"/>
      <c r="C33" s="12"/>
      <c r="D33" s="13"/>
      <c r="E33" s="7"/>
      <c r="F33" s="13" t="str">
        <f t="shared" si="3"/>
        <v xml:space="preserve">    -  </v>
      </c>
      <c r="G33" s="13" t="str">
        <f t="shared" si="4"/>
        <v xml:space="preserve">-  </v>
      </c>
      <c r="H33" s="8"/>
      <c r="I33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33" s="34" t="str">
        <f>IF(E33=0,"",YEAR(Table1[[#This Row],[Estimated replacement date (CALCULATED)]]))</f>
        <v/>
      </c>
    </row>
    <row r="34" spans="1:10" x14ac:dyDescent="0.25">
      <c r="A34" s="33"/>
      <c r="B34" s="12"/>
      <c r="C34" s="12"/>
      <c r="D34" s="13"/>
      <c r="E34" s="7"/>
      <c r="F34" s="13" t="str">
        <f t="shared" si="3"/>
        <v xml:space="preserve">    -  </v>
      </c>
      <c r="G34" s="13" t="str">
        <f t="shared" si="4"/>
        <v xml:space="preserve">-  </v>
      </c>
      <c r="H34" s="8"/>
      <c r="I34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34" s="34" t="str">
        <f>IF(E34=0,"",YEAR(Table1[[#This Row],[Estimated replacement date (CALCULATED)]]))</f>
        <v/>
      </c>
    </row>
    <row r="35" spans="1:10" x14ac:dyDescent="0.25">
      <c r="A35" s="33"/>
      <c r="B35" s="12"/>
      <c r="C35" s="12"/>
      <c r="D35" s="13"/>
      <c r="E35" s="7"/>
      <c r="F35" s="13" t="str">
        <f t="shared" si="3"/>
        <v xml:space="preserve">    -  </v>
      </c>
      <c r="G35" s="13" t="str">
        <f t="shared" si="4"/>
        <v xml:space="preserve">-  </v>
      </c>
      <c r="H35" s="8"/>
      <c r="I35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35" s="34" t="str">
        <f>IF(E35=0,"",YEAR(Table1[[#This Row],[Estimated replacement date (CALCULATED)]]))</f>
        <v/>
      </c>
    </row>
    <row r="36" spans="1:10" x14ac:dyDescent="0.25">
      <c r="A36" s="33"/>
      <c r="B36" s="12"/>
      <c r="C36" s="12"/>
      <c r="D36" s="13"/>
      <c r="E36" s="7"/>
      <c r="F36" s="13" t="str">
        <f t="shared" si="3"/>
        <v xml:space="preserve">    -  </v>
      </c>
      <c r="G36" s="13" t="str">
        <f t="shared" si="4"/>
        <v xml:space="preserve">-  </v>
      </c>
      <c r="H36" s="8"/>
      <c r="I36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36" s="34" t="str">
        <f>IF(E36=0,"",YEAR(Table1[[#This Row],[Estimated replacement date (CALCULATED)]]))</f>
        <v/>
      </c>
    </row>
    <row r="37" spans="1:10" x14ac:dyDescent="0.25">
      <c r="A37" s="33"/>
      <c r="B37" s="12"/>
      <c r="C37" s="12"/>
      <c r="D37" s="13"/>
      <c r="E37" s="7"/>
      <c r="F37" s="13" t="str">
        <f t="shared" si="3"/>
        <v xml:space="preserve">    -  </v>
      </c>
      <c r="G37" s="13" t="str">
        <f t="shared" si="4"/>
        <v xml:space="preserve">-  </v>
      </c>
      <c r="H37" s="8"/>
      <c r="I37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37" s="34" t="str">
        <f>IF(E37=0,"",YEAR(Table1[[#This Row],[Estimated replacement date (CALCULATED)]]))</f>
        <v/>
      </c>
    </row>
    <row r="38" spans="1:10" x14ac:dyDescent="0.25">
      <c r="A38" s="33"/>
      <c r="B38" s="12"/>
      <c r="C38" s="12"/>
      <c r="D38" s="13"/>
      <c r="E38" s="7"/>
      <c r="F38" s="13" t="str">
        <f t="shared" si="3"/>
        <v xml:space="preserve">    -  </v>
      </c>
      <c r="G38" s="13" t="str">
        <f t="shared" si="4"/>
        <v xml:space="preserve">-  </v>
      </c>
      <c r="H38" s="8"/>
      <c r="I38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38" s="34" t="str">
        <f>IF(E38=0,"",YEAR(Table1[[#This Row],[Estimated replacement date (CALCULATED)]]))</f>
        <v/>
      </c>
    </row>
    <row r="39" spans="1:10" x14ac:dyDescent="0.25">
      <c r="A39" s="33"/>
      <c r="B39" s="12"/>
      <c r="C39" s="12"/>
      <c r="D39" s="13"/>
      <c r="E39" s="7"/>
      <c r="F39" s="13" t="str">
        <f t="shared" si="3"/>
        <v xml:space="preserve">    -  </v>
      </c>
      <c r="G39" s="13" t="str">
        <f t="shared" si="4"/>
        <v xml:space="preserve">-  </v>
      </c>
      <c r="H39" s="8"/>
      <c r="I39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39" s="34" t="str">
        <f>IF(E39=0,"",YEAR(Table1[[#This Row],[Estimated replacement date (CALCULATED)]]))</f>
        <v/>
      </c>
    </row>
    <row r="40" spans="1:10" x14ac:dyDescent="0.25">
      <c r="A40" s="33"/>
      <c r="B40" s="12"/>
      <c r="C40" s="12"/>
      <c r="D40" s="13"/>
      <c r="E40" s="7"/>
      <c r="F40" s="13" t="str">
        <f t="shared" si="3"/>
        <v xml:space="preserve">    -  </v>
      </c>
      <c r="G40" s="13" t="str">
        <f t="shared" si="4"/>
        <v xml:space="preserve">-  </v>
      </c>
      <c r="H40" s="8"/>
      <c r="I40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40" s="34" t="str">
        <f>IF(E40=0,"",YEAR(Table1[[#This Row],[Estimated replacement date (CALCULATED)]]))</f>
        <v/>
      </c>
    </row>
    <row r="41" spans="1:10" x14ac:dyDescent="0.25">
      <c r="A41" s="33"/>
      <c r="B41" s="12"/>
      <c r="C41" s="12"/>
      <c r="D41" s="13"/>
      <c r="E41" s="7"/>
      <c r="F41" s="13" t="str">
        <f t="shared" si="3"/>
        <v xml:space="preserve">    -  </v>
      </c>
      <c r="G41" s="13" t="str">
        <f t="shared" si="4"/>
        <v xml:space="preserve">-  </v>
      </c>
      <c r="H41" s="8"/>
      <c r="I41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41" s="34" t="str">
        <f>IF(E41=0,"",YEAR(Table1[[#This Row],[Estimated replacement date (CALCULATED)]]))</f>
        <v/>
      </c>
    </row>
    <row r="42" spans="1:10" x14ac:dyDescent="0.25">
      <c r="A42" s="33"/>
      <c r="B42" s="12"/>
      <c r="C42" s="12"/>
      <c r="D42" s="13"/>
      <c r="E42" s="7"/>
      <c r="F42" s="13" t="str">
        <f t="shared" si="3"/>
        <v xml:space="preserve">    -  </v>
      </c>
      <c r="G42" s="13" t="str">
        <f t="shared" si="4"/>
        <v xml:space="preserve">-  </v>
      </c>
      <c r="H42" s="8"/>
      <c r="I42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42" s="34" t="str">
        <f>IF(E42=0,"",YEAR(Table1[[#This Row],[Estimated replacement date (CALCULATED)]]))</f>
        <v/>
      </c>
    </row>
    <row r="43" spans="1:10" x14ac:dyDescent="0.25">
      <c r="A43" s="33"/>
      <c r="B43" s="12"/>
      <c r="C43" s="12"/>
      <c r="D43" s="13"/>
      <c r="E43" s="7"/>
      <c r="F43" s="13" t="str">
        <f t="shared" si="3"/>
        <v xml:space="preserve">    -  </v>
      </c>
      <c r="G43" s="13" t="str">
        <f t="shared" si="4"/>
        <v xml:space="preserve">-  </v>
      </c>
      <c r="H43" s="8"/>
      <c r="I43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43" s="34" t="str">
        <f>IF(E43=0,"",YEAR(Table1[[#This Row],[Estimated replacement date (CALCULATED)]]))</f>
        <v/>
      </c>
    </row>
    <row r="44" spans="1:10" x14ac:dyDescent="0.25">
      <c r="A44" s="33"/>
      <c r="B44" s="12"/>
      <c r="C44" s="12"/>
      <c r="D44" s="13"/>
      <c r="E44" s="7"/>
      <c r="F44" s="13" t="str">
        <f t="shared" si="3"/>
        <v xml:space="preserve">    -  </v>
      </c>
      <c r="G44" s="13" t="str">
        <f t="shared" si="4"/>
        <v xml:space="preserve">-  </v>
      </c>
      <c r="H44" s="8"/>
      <c r="I44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44" s="34" t="str">
        <f>IF(E44=0,"",YEAR(Table1[[#This Row],[Estimated replacement date (CALCULATED)]]))</f>
        <v/>
      </c>
    </row>
    <row r="45" spans="1:10" x14ac:dyDescent="0.25">
      <c r="A45" s="33"/>
      <c r="B45" s="12"/>
      <c r="C45" s="12"/>
      <c r="D45" s="13"/>
      <c r="E45" s="7"/>
      <c r="F45" s="13" t="str">
        <f t="shared" si="3"/>
        <v xml:space="preserve">    -  </v>
      </c>
      <c r="G45" s="13" t="str">
        <f t="shared" si="4"/>
        <v xml:space="preserve">-  </v>
      </c>
      <c r="H45" s="8"/>
      <c r="I45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45" s="34" t="str">
        <f>IF(E45=0,"",YEAR(Table1[[#This Row],[Estimated replacement date (CALCULATED)]]))</f>
        <v/>
      </c>
    </row>
    <row r="46" spans="1:10" x14ac:dyDescent="0.25">
      <c r="A46" s="33"/>
      <c r="B46" s="12"/>
      <c r="C46" s="12"/>
      <c r="D46" s="13"/>
      <c r="E46" s="7"/>
      <c r="F46" s="13" t="str">
        <f t="shared" si="3"/>
        <v xml:space="preserve">    -  </v>
      </c>
      <c r="G46" s="13" t="str">
        <f t="shared" si="4"/>
        <v xml:space="preserve">-  </v>
      </c>
      <c r="H46" s="8"/>
      <c r="I46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46" s="34" t="str">
        <f>IF(E46=0,"",YEAR(Table1[[#This Row],[Estimated replacement date (CALCULATED)]]))</f>
        <v/>
      </c>
    </row>
    <row r="47" spans="1:10" x14ac:dyDescent="0.25">
      <c r="A47" s="33"/>
      <c r="B47" s="12"/>
      <c r="C47" s="12"/>
      <c r="D47" s="13"/>
      <c r="E47" s="7"/>
      <c r="F47" s="13" t="str">
        <f t="shared" si="3"/>
        <v xml:space="preserve">    -  </v>
      </c>
      <c r="G47" s="13" t="str">
        <f t="shared" si="4"/>
        <v xml:space="preserve">-  </v>
      </c>
      <c r="H47" s="8"/>
      <c r="I47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47" s="34" t="str">
        <f>IF(E47=0,"",YEAR(Table1[[#This Row],[Estimated replacement date (CALCULATED)]]))</f>
        <v/>
      </c>
    </row>
    <row r="48" spans="1:10" x14ac:dyDescent="0.25">
      <c r="A48" s="33"/>
      <c r="B48" s="12"/>
      <c r="C48" s="12"/>
      <c r="D48" s="13"/>
      <c r="E48" s="7"/>
      <c r="F48" s="13" t="str">
        <f t="shared" si="3"/>
        <v xml:space="preserve">    -  </v>
      </c>
      <c r="G48" s="13" t="str">
        <f t="shared" si="4"/>
        <v xml:space="preserve">-  </v>
      </c>
      <c r="H48" s="8"/>
      <c r="I48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48" s="34" t="str">
        <f>IF(E48=0,"",YEAR(Table1[[#This Row],[Estimated replacement date (CALCULATED)]]))</f>
        <v/>
      </c>
    </row>
    <row r="49" spans="1:10" x14ac:dyDescent="0.25">
      <c r="A49" s="33"/>
      <c r="B49" s="12"/>
      <c r="C49" s="12"/>
      <c r="D49" s="13"/>
      <c r="E49" s="7"/>
      <c r="F49" s="13" t="str">
        <f t="shared" si="3"/>
        <v xml:space="preserve">    -  </v>
      </c>
      <c r="G49" s="13" t="str">
        <f t="shared" si="4"/>
        <v xml:space="preserve">-  </v>
      </c>
      <c r="H49" s="8"/>
      <c r="I49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49" s="34" t="str">
        <f>IF(E49=0,"",YEAR(Table1[[#This Row],[Estimated replacement date (CALCULATED)]]))</f>
        <v/>
      </c>
    </row>
    <row r="50" spans="1:10" x14ac:dyDescent="0.25">
      <c r="A50" s="33"/>
      <c r="B50" s="12"/>
      <c r="C50" s="12"/>
      <c r="D50" s="13"/>
      <c r="E50" s="7"/>
      <c r="F50" s="13" t="str">
        <f t="shared" si="3"/>
        <v xml:space="preserve">    -  </v>
      </c>
      <c r="G50" s="13" t="str">
        <f t="shared" si="4"/>
        <v xml:space="preserve">-  </v>
      </c>
      <c r="H50" s="8"/>
      <c r="I50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50" s="34" t="str">
        <f>IF(E50=0,"",YEAR(Table1[[#This Row],[Estimated replacement date (CALCULATED)]]))</f>
        <v/>
      </c>
    </row>
    <row r="51" spans="1:10" x14ac:dyDescent="0.25">
      <c r="A51" s="33"/>
      <c r="B51" s="12"/>
      <c r="C51" s="12"/>
      <c r="D51" s="13"/>
      <c r="E51" s="7"/>
      <c r="F51" s="13" t="str">
        <f t="shared" si="3"/>
        <v xml:space="preserve">    -  </v>
      </c>
      <c r="G51" s="13" t="str">
        <f t="shared" si="4"/>
        <v xml:space="preserve">-  </v>
      </c>
      <c r="H51" s="8"/>
      <c r="I51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51" s="34" t="str">
        <f>IF(E51=0,"",YEAR(Table1[[#This Row],[Estimated replacement date (CALCULATED)]]))</f>
        <v/>
      </c>
    </row>
    <row r="52" spans="1:10" x14ac:dyDescent="0.25">
      <c r="A52" s="33"/>
      <c r="B52" s="12"/>
      <c r="C52" s="12"/>
      <c r="D52" s="13"/>
      <c r="E52" s="7"/>
      <c r="F52" s="13" t="str">
        <f t="shared" si="3"/>
        <v xml:space="preserve">    -  </v>
      </c>
      <c r="G52" s="13" t="str">
        <f t="shared" si="4"/>
        <v xml:space="preserve">-  </v>
      </c>
      <c r="H52" s="8"/>
      <c r="I52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52" s="34" t="str">
        <f>IF(E52=0,"",YEAR(Table1[[#This Row],[Estimated replacement date (CALCULATED)]]))</f>
        <v/>
      </c>
    </row>
    <row r="53" spans="1:10" x14ac:dyDescent="0.25">
      <c r="A53" s="33"/>
      <c r="B53" s="12"/>
      <c r="C53" s="12"/>
      <c r="D53" s="13"/>
      <c r="E53" s="7"/>
      <c r="F53" s="13" t="str">
        <f t="shared" si="3"/>
        <v xml:space="preserve">    -  </v>
      </c>
      <c r="G53" s="13" t="str">
        <f t="shared" si="4"/>
        <v xml:space="preserve">-  </v>
      </c>
      <c r="H53" s="8"/>
      <c r="I53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53" s="34" t="str">
        <f>IF(E53=0,"",YEAR(Table1[[#This Row],[Estimated replacement date (CALCULATED)]]))</f>
        <v/>
      </c>
    </row>
    <row r="54" spans="1:10" x14ac:dyDescent="0.25">
      <c r="A54" s="33"/>
      <c r="B54" s="12"/>
      <c r="C54" s="12"/>
      <c r="D54" s="13"/>
      <c r="E54" s="7"/>
      <c r="F54" s="13" t="str">
        <f t="shared" si="3"/>
        <v xml:space="preserve">    -  </v>
      </c>
      <c r="G54" s="13" t="str">
        <f t="shared" si="4"/>
        <v xml:space="preserve">-  </v>
      </c>
      <c r="H54" s="8"/>
      <c r="I54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54" s="34" t="str">
        <f>IF(E54=0,"",YEAR(Table1[[#This Row],[Estimated replacement date (CALCULATED)]]))</f>
        <v/>
      </c>
    </row>
    <row r="55" spans="1:10" x14ac:dyDescent="0.25">
      <c r="A55" s="33"/>
      <c r="B55" s="12"/>
      <c r="C55" s="12"/>
      <c r="D55" s="13"/>
      <c r="E55" s="7"/>
      <c r="F55" s="13" t="str">
        <f t="shared" si="3"/>
        <v xml:space="preserve">    -  </v>
      </c>
      <c r="G55" s="13" t="str">
        <f t="shared" si="4"/>
        <v xml:space="preserve">-  </v>
      </c>
      <c r="H55" s="8"/>
      <c r="I55" s="9" t="str">
        <f>IF(Table1[[#This Row],[Installation date (m/yy) (OPTIONAL)]]=0,"",MONTH(Table1[[#This Row],[Installation date (m/yy) (OPTIONAL)]])&amp;"-"&amp;YEAR(Table1[[#This Row],[Installation date (m/yy) (OPTIONAL)]])+Table1[[#This Row],[Years]])</f>
        <v/>
      </c>
      <c r="J55" s="34" t="str">
        <f>IF(E55=0,"",YEAR(Table1[[#This Row],[Estimated replacement date (CALCULATED)]]))</f>
        <v/>
      </c>
    </row>
    <row r="56" spans="1:10" ht="18.75" x14ac:dyDescent="0.3">
      <c r="B56" s="10" t="s">
        <v>11</v>
      </c>
      <c r="C56" s="10"/>
      <c r="D56" s="14">
        <f>SUBTOTAL(9,Table1[Current Replacement Value])</f>
        <v>953078</v>
      </c>
      <c r="E56" s="11"/>
      <c r="F56" s="14">
        <f>SUBTOTAL(9,Table1[Projected Total Replacement Cost   (calculated)])</f>
        <v>1667828.9857387778</v>
      </c>
      <c r="G56" s="14">
        <f>SUBTOTAL(9,Table1[Amount to be budgetted annually  (calculated)])</f>
        <v>93898.166011930414</v>
      </c>
    </row>
  </sheetData>
  <mergeCells count="3">
    <mergeCell ref="B1:I1"/>
    <mergeCell ref="B2:D2"/>
    <mergeCell ref="G2:I2"/>
  </mergeCell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Value not on the list" error="Please select from the dropdown list. Master list is maintained on the &quot;CapitalGroups&quot; tab">
          <x14:formula1>
            <xm:f>CapitalGroups!$A$4:$A$20</xm:f>
          </x14:formula1>
          <xm:sqref>A5:A31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B20"/>
  <sheetViews>
    <sheetView workbookViewId="0">
      <selection activeCell="E35" sqref="E35"/>
    </sheetView>
  </sheetViews>
  <sheetFormatPr defaultColWidth="8.85546875" defaultRowHeight="15" x14ac:dyDescent="0.25"/>
  <cols>
    <col min="1" max="1" width="16.140625" customWidth="1"/>
    <col min="2" max="2" width="34" customWidth="1"/>
  </cols>
  <sheetData>
    <row r="3" spans="1:2" x14ac:dyDescent="0.25">
      <c r="A3" s="24" t="s">
        <v>54</v>
      </c>
      <c r="B3" s="24" t="s">
        <v>55</v>
      </c>
    </row>
    <row r="4" spans="1:2" x14ac:dyDescent="0.25">
      <c r="A4" s="35" t="s">
        <v>12</v>
      </c>
      <c r="B4" s="36"/>
    </row>
    <row r="5" spans="1:2" x14ac:dyDescent="0.25">
      <c r="A5" s="35" t="s">
        <v>47</v>
      </c>
      <c r="B5" s="36"/>
    </row>
    <row r="6" spans="1:2" x14ac:dyDescent="0.25">
      <c r="A6" s="35" t="s">
        <v>48</v>
      </c>
      <c r="B6" s="36"/>
    </row>
    <row r="7" spans="1:2" x14ac:dyDescent="0.25">
      <c r="A7" s="35" t="s">
        <v>49</v>
      </c>
      <c r="B7" s="36"/>
    </row>
    <row r="8" spans="1:2" x14ac:dyDescent="0.25">
      <c r="A8" s="35" t="s">
        <v>50</v>
      </c>
      <c r="B8" s="36"/>
    </row>
    <row r="9" spans="1:2" x14ac:dyDescent="0.25">
      <c r="A9" s="35"/>
      <c r="B9" s="36"/>
    </row>
    <row r="10" spans="1:2" x14ac:dyDescent="0.25">
      <c r="A10" s="35"/>
      <c r="B10" s="36"/>
    </row>
    <row r="11" spans="1:2" x14ac:dyDescent="0.25">
      <c r="A11" s="35"/>
      <c r="B11" s="36"/>
    </row>
    <row r="12" spans="1:2" x14ac:dyDescent="0.25">
      <c r="A12" s="35"/>
      <c r="B12" s="36"/>
    </row>
    <row r="13" spans="1:2" x14ac:dyDescent="0.25">
      <c r="A13" s="35"/>
      <c r="B13" s="36"/>
    </row>
    <row r="14" spans="1:2" x14ac:dyDescent="0.25">
      <c r="A14" s="35"/>
      <c r="B14" s="36"/>
    </row>
    <row r="15" spans="1:2" x14ac:dyDescent="0.25">
      <c r="A15" s="35"/>
      <c r="B15" s="36"/>
    </row>
    <row r="16" spans="1:2" x14ac:dyDescent="0.25">
      <c r="A16" s="35"/>
      <c r="B16" s="36"/>
    </row>
    <row r="17" spans="1:2" x14ac:dyDescent="0.25">
      <c r="A17" s="35"/>
      <c r="B17" s="36"/>
    </row>
    <row r="18" spans="1:2" x14ac:dyDescent="0.25">
      <c r="A18" s="35"/>
      <c r="B18" s="36"/>
    </row>
    <row r="19" spans="1:2" x14ac:dyDescent="0.25">
      <c r="A19" s="35"/>
      <c r="B19" s="36"/>
    </row>
    <row r="20" spans="1:2" x14ac:dyDescent="0.25">
      <c r="A20" s="35"/>
      <c r="B20" s="36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T16"/>
  <sheetViews>
    <sheetView workbookViewId="0">
      <pane xSplit="1" ySplit="3" topLeftCell="B4" activePane="bottomRight" state="frozen"/>
      <selection activeCell="D38" sqref="D38"/>
      <selection pane="topRight" activeCell="D38" sqref="D38"/>
      <selection pane="bottomLeft" activeCell="D38" sqref="D38"/>
      <selection pane="bottomRight" activeCell="E35" sqref="E35"/>
    </sheetView>
  </sheetViews>
  <sheetFormatPr defaultColWidth="8.85546875" defaultRowHeight="14.25" x14ac:dyDescent="0.2"/>
  <cols>
    <col min="1" max="1" width="14" style="37" customWidth="1"/>
    <col min="2" max="19" width="10.7109375" style="37" customWidth="1"/>
    <col min="20" max="20" width="11.42578125" style="37" bestFit="1" customWidth="1"/>
    <col min="21" max="16384" width="8.85546875" style="37"/>
  </cols>
  <sheetData>
    <row r="3" spans="1:20" s="39" customFormat="1" ht="15" x14ac:dyDescent="0.25">
      <c r="A3" s="38" t="s">
        <v>53</v>
      </c>
      <c r="B3" s="38" t="s">
        <v>56</v>
      </c>
      <c r="C3" s="38" t="s">
        <v>57</v>
      </c>
      <c r="D3" s="38" t="s">
        <v>58</v>
      </c>
      <c r="E3" s="38" t="s">
        <v>59</v>
      </c>
      <c r="F3" s="38" t="s">
        <v>60</v>
      </c>
      <c r="G3" s="38" t="s">
        <v>61</v>
      </c>
      <c r="H3" s="38" t="s">
        <v>62</v>
      </c>
      <c r="I3" s="38" t="s">
        <v>63</v>
      </c>
      <c r="J3" s="38" t="s">
        <v>64</v>
      </c>
      <c r="K3" s="38" t="s">
        <v>65</v>
      </c>
      <c r="L3" s="38" t="s">
        <v>66</v>
      </c>
      <c r="M3" s="38" t="s">
        <v>67</v>
      </c>
      <c r="N3" s="38" t="s">
        <v>68</v>
      </c>
      <c r="O3" s="38" t="s">
        <v>69</v>
      </c>
      <c r="P3" s="38" t="s">
        <v>70</v>
      </c>
      <c r="Q3" s="38" t="s">
        <v>71</v>
      </c>
      <c r="R3" s="38" t="s">
        <v>72</v>
      </c>
      <c r="S3" s="38" t="s">
        <v>73</v>
      </c>
      <c r="T3" s="38" t="s">
        <v>51</v>
      </c>
    </row>
    <row r="4" spans="1:20" ht="15" x14ac:dyDescent="0.25">
      <c r="A4" s="40" t="str">
        <f>CapitalGroups!A4</f>
        <v>Carpeting</v>
      </c>
      <c r="B4" s="41">
        <f>SUMIFS(ChurchConcept!$F$5:$F$22,ChurchConcept!$J$5:$J$22,B$3,ChurchConcept!$A$5:$A$22,$A4)</f>
        <v>36713.342836289099</v>
      </c>
      <c r="C4" s="41">
        <f>SUMIFS(ChurchConcept!$F$5:$F$22,ChurchConcept!$J$5:$J$22,C$3,ChurchConcept!$A$5:$A$22,$A4)</f>
        <v>0</v>
      </c>
      <c r="D4" s="41">
        <f>SUMIFS(ChurchConcept!$F$5:$F$22,ChurchConcept!$J$5:$J$22,D$3,ChurchConcept!$A$5:$A$22,$A4)</f>
        <v>247716.81923952157</v>
      </c>
      <c r="E4" s="41">
        <f>SUMIFS(ChurchConcept!$F$5:$F$22,ChurchConcept!$J$5:$J$22,E$3,ChurchConcept!$A$5:$A$22,$A4)</f>
        <v>32459.674080399996</v>
      </c>
      <c r="F4" s="41">
        <f>SUMIFS(ChurchConcept!$F$5:$F$22,ChurchConcept!$J$5:$J$22,F$3,ChurchConcept!$A$5:$A$22,$A4)</f>
        <v>0</v>
      </c>
      <c r="G4" s="41">
        <f>SUMIFS(ChurchConcept!$F$5:$F$22,ChurchConcept!$J$5:$J$22,G$3,ChurchConcept!$A$5:$A$22,$A4)</f>
        <v>0</v>
      </c>
      <c r="H4" s="41">
        <f>SUMIFS(ChurchConcept!$F$5:$F$22,ChurchConcept!$J$5:$J$22,H$3,ChurchConcept!$A$5:$A$22,$A4)</f>
        <v>0</v>
      </c>
      <c r="I4" s="41">
        <f>SUMIFS(ChurchConcept!$F$5:$F$22,ChurchConcept!$J$5:$J$22,I$3,ChurchConcept!$A$5:$A$22,$A4)</f>
        <v>57795.559509421226</v>
      </c>
      <c r="J4" s="41">
        <f>SUMIFS(ChurchConcept!$F$5:$F$22,ChurchConcept!$J$5:$J$22,J$3,ChurchConcept!$A$5:$A$22,$A4)</f>
        <v>0</v>
      </c>
      <c r="K4" s="41">
        <f>SUMIFS(ChurchConcept!$F$5:$F$22,ChurchConcept!$J$5:$J$22,K$3,ChurchConcept!$A$5:$A$22,$A4)</f>
        <v>0</v>
      </c>
      <c r="L4" s="41">
        <f>SUMIFS(ChurchConcept!$F$5:$F$22,ChurchConcept!$J$5:$J$22,L$3,ChurchConcept!$A$5:$A$22,$A4)</f>
        <v>18695.608999209173</v>
      </c>
      <c r="M4" s="41">
        <f>SUMIFS(ChurchConcept!$F$5:$F$22,ChurchConcept!$J$5:$J$22,M$3,ChurchConcept!$A$5:$A$22,$A4)</f>
        <v>0</v>
      </c>
      <c r="N4" s="41">
        <f>SUMIFS(ChurchConcept!$F$5:$F$22,ChurchConcept!$J$5:$J$22,N$3,ChurchConcept!$A$5:$A$22,$A4)</f>
        <v>196815.12538749611</v>
      </c>
      <c r="O4" s="41">
        <f>SUMIFS(ChurchConcept!$F$5:$F$22,ChurchConcept!$J$5:$J$22,O$3,ChurchConcept!$A$5:$A$22,$A4)</f>
        <v>122815.56395752011</v>
      </c>
      <c r="P4" s="41">
        <f>SUMIFS(ChurchConcept!$F$5:$F$22,ChurchConcept!$J$5:$J$22,P$3,ChurchConcept!$A$5:$A$22,$A4)</f>
        <v>0</v>
      </c>
      <c r="Q4" s="41">
        <f>SUMIFS(ChurchConcept!$F$5:$F$22,ChurchConcept!$J$5:$J$22,Q$3,ChurchConcept!$A$5:$A$22,$A4)</f>
        <v>563506.70521685691</v>
      </c>
      <c r="R4" s="41">
        <f>SUMIFS(ChurchConcept!$F$5:$F$22,ChurchConcept!$J$5:$J$22,R$3,ChurchConcept!$A$5:$A$22,$A4)</f>
        <v>0</v>
      </c>
      <c r="S4" s="41">
        <f>SUMIFS(ChurchConcept!$F$5:$F$22,ChurchConcept!$J$5:$J$22,S$3,ChurchConcept!$A$5:$A$22,$A4)</f>
        <v>0</v>
      </c>
      <c r="T4" s="42">
        <f t="shared" ref="T4:T13" si="0">SUM(B4:S4)</f>
        <v>1276518.3992267142</v>
      </c>
    </row>
    <row r="5" spans="1:20" ht="15" x14ac:dyDescent="0.25">
      <c r="A5" s="40" t="str">
        <f>CapitalGroups!A5</f>
        <v>Equipment</v>
      </c>
      <c r="B5" s="41">
        <f>SUMIFS(ChurchConcept!$F$5:$F$22,ChurchConcept!$J$5:$J$22,B$3,ChurchConcept!$A$5:$A$22,$A5)</f>
        <v>0</v>
      </c>
      <c r="C5" s="41">
        <f>SUMIFS(ChurchConcept!$F$5:$F$22,ChurchConcept!$J$5:$J$22,C$3,ChurchConcept!$A$5:$A$22,$A5)</f>
        <v>0</v>
      </c>
      <c r="D5" s="41">
        <f>SUMIFS(ChurchConcept!$F$5:$F$22,ChurchConcept!$J$5:$J$22,D$3,ChurchConcept!$A$5:$A$22,$A5)</f>
        <v>0</v>
      </c>
      <c r="E5" s="41">
        <f>SUMIFS(ChurchConcept!$F$5:$F$22,ChurchConcept!$J$5:$J$22,E$3,ChurchConcept!$A$5:$A$22,$A5)</f>
        <v>0</v>
      </c>
      <c r="F5" s="41">
        <f>SUMIFS(ChurchConcept!$F$5:$F$22,ChurchConcept!$J$5:$J$22,F$3,ChurchConcept!$A$5:$A$22,$A5)</f>
        <v>0</v>
      </c>
      <c r="G5" s="41">
        <f>SUMIFS(ChurchConcept!$F$5:$F$22,ChurchConcept!$J$5:$J$22,G$3,ChurchConcept!$A$5:$A$22,$A5)</f>
        <v>0</v>
      </c>
      <c r="H5" s="41">
        <f>SUMIFS(ChurchConcept!$F$5:$F$22,ChurchConcept!$J$5:$J$22,H$3,ChurchConcept!$A$5:$A$22,$A5)</f>
        <v>0</v>
      </c>
      <c r="I5" s="41">
        <f>SUMIFS(ChurchConcept!$F$5:$F$22,ChurchConcept!$J$5:$J$22,I$3,ChurchConcept!$A$5:$A$22,$A5)</f>
        <v>0</v>
      </c>
      <c r="J5" s="41">
        <f>SUMIFS(ChurchConcept!$F$5:$F$22,ChurchConcept!$J$5:$J$22,J$3,ChurchConcept!$A$5:$A$22,$A5)</f>
        <v>0</v>
      </c>
      <c r="K5" s="41">
        <f>SUMIFS(ChurchConcept!$F$5:$F$22,ChurchConcept!$J$5:$J$22,K$3,ChurchConcept!$A$5:$A$22,$A5)</f>
        <v>0</v>
      </c>
      <c r="L5" s="41">
        <f>SUMIFS(ChurchConcept!$F$5:$F$22,ChurchConcept!$J$5:$J$22,L$3,ChurchConcept!$A$5:$A$22,$A5)</f>
        <v>0</v>
      </c>
      <c r="M5" s="41">
        <f>SUMIFS(ChurchConcept!$F$5:$F$22,ChurchConcept!$J$5:$J$22,M$3,ChurchConcept!$A$5:$A$22,$A5)</f>
        <v>0</v>
      </c>
      <c r="N5" s="41">
        <f>SUMIFS(ChurchConcept!$F$5:$F$22,ChurchConcept!$J$5:$J$22,N$3,ChurchConcept!$A$5:$A$22,$A5)</f>
        <v>0</v>
      </c>
      <c r="O5" s="41">
        <f>SUMIFS(ChurchConcept!$F$5:$F$22,ChurchConcept!$J$5:$J$22,O$3,ChurchConcept!$A$5:$A$22,$A5)</f>
        <v>0</v>
      </c>
      <c r="P5" s="41">
        <f>SUMIFS(ChurchConcept!$F$5:$F$22,ChurchConcept!$J$5:$J$22,P$3,ChurchConcept!$A$5:$A$22,$A5)</f>
        <v>0</v>
      </c>
      <c r="Q5" s="41">
        <f>SUMIFS(ChurchConcept!$F$5:$F$22,ChurchConcept!$J$5:$J$22,Q$3,ChurchConcept!$A$5:$A$22,$A5)</f>
        <v>0</v>
      </c>
      <c r="R5" s="41">
        <f>SUMIFS(ChurchConcept!$F$5:$F$22,ChurchConcept!$J$5:$J$22,R$3,ChurchConcept!$A$5:$A$22,$A5)</f>
        <v>0</v>
      </c>
      <c r="S5" s="41">
        <f>SUMIFS(ChurchConcept!$F$5:$F$22,ChurchConcept!$J$5:$J$22,S$3,ChurchConcept!$A$5:$A$22,$A5)</f>
        <v>0</v>
      </c>
      <c r="T5" s="42">
        <f t="shared" si="0"/>
        <v>0</v>
      </c>
    </row>
    <row r="6" spans="1:20" ht="15" x14ac:dyDescent="0.25">
      <c r="A6" s="40" t="str">
        <f>CapitalGroups!A6</f>
        <v>HVAC</v>
      </c>
      <c r="B6" s="41">
        <f>SUMIFS(ChurchConcept!$F$5:$F$22,ChurchConcept!$J$5:$J$22,B$3,ChurchConcept!$A$5:$A$22,$A6)</f>
        <v>0</v>
      </c>
      <c r="C6" s="41">
        <f>SUMIFS(ChurchConcept!$F$5:$F$22,ChurchConcept!$J$5:$J$22,C$3,ChurchConcept!$A$5:$A$22,$A6)</f>
        <v>0</v>
      </c>
      <c r="D6" s="41">
        <f>SUMIFS(ChurchConcept!$F$5:$F$22,ChurchConcept!$J$5:$J$22,D$3,ChurchConcept!$A$5:$A$22,$A6)</f>
        <v>0</v>
      </c>
      <c r="E6" s="41">
        <f>SUMIFS(ChurchConcept!$F$5:$F$22,ChurchConcept!$J$5:$J$22,E$3,ChurchConcept!$A$5:$A$22,$A6)</f>
        <v>0</v>
      </c>
      <c r="F6" s="41">
        <f>SUMIFS(ChurchConcept!$F$5:$F$22,ChurchConcept!$J$5:$J$22,F$3,ChurchConcept!$A$5:$A$22,$A6)</f>
        <v>0</v>
      </c>
      <c r="G6" s="41">
        <f>SUMIFS(ChurchConcept!$F$5:$F$22,ChurchConcept!$J$5:$J$22,G$3,ChurchConcept!$A$5:$A$22,$A6)</f>
        <v>0</v>
      </c>
      <c r="H6" s="41">
        <f>SUMIFS(ChurchConcept!$F$5:$F$22,ChurchConcept!$J$5:$J$22,H$3,ChurchConcept!$A$5:$A$22,$A6)</f>
        <v>0</v>
      </c>
      <c r="I6" s="41">
        <f>SUMIFS(ChurchConcept!$F$5:$F$22,ChurchConcept!$J$5:$J$22,I$3,ChurchConcept!$A$5:$A$22,$A6)</f>
        <v>0</v>
      </c>
      <c r="J6" s="41">
        <f>SUMIFS(ChurchConcept!$F$5:$F$22,ChurchConcept!$J$5:$J$22,J$3,ChurchConcept!$A$5:$A$22,$A6)</f>
        <v>0</v>
      </c>
      <c r="K6" s="41">
        <f>SUMIFS(ChurchConcept!$F$5:$F$22,ChurchConcept!$J$5:$J$22,K$3,ChurchConcept!$A$5:$A$22,$A6)</f>
        <v>0</v>
      </c>
      <c r="L6" s="41">
        <f>SUMIFS(ChurchConcept!$F$5:$F$22,ChurchConcept!$J$5:$J$22,L$3,ChurchConcept!$A$5:$A$22,$A6)</f>
        <v>0</v>
      </c>
      <c r="M6" s="41">
        <f>SUMIFS(ChurchConcept!$F$5:$F$22,ChurchConcept!$J$5:$J$22,M$3,ChurchConcept!$A$5:$A$22,$A6)</f>
        <v>0</v>
      </c>
      <c r="N6" s="41">
        <f>SUMIFS(ChurchConcept!$F$5:$F$22,ChurchConcept!$J$5:$J$22,N$3,ChurchConcept!$A$5:$A$22,$A6)</f>
        <v>0</v>
      </c>
      <c r="O6" s="41">
        <f>SUMIFS(ChurchConcept!$F$5:$F$22,ChurchConcept!$J$5:$J$22,O$3,ChurchConcept!$A$5:$A$22,$A6)</f>
        <v>0</v>
      </c>
      <c r="P6" s="41">
        <f>SUMIFS(ChurchConcept!$F$5:$F$22,ChurchConcept!$J$5:$J$22,P$3,ChurchConcept!$A$5:$A$22,$A6)</f>
        <v>0</v>
      </c>
      <c r="Q6" s="41">
        <f>SUMIFS(ChurchConcept!$F$5:$F$22,ChurchConcept!$J$5:$J$22,Q$3,ChurchConcept!$A$5:$A$22,$A6)</f>
        <v>0</v>
      </c>
      <c r="R6" s="41">
        <f>SUMIFS(ChurchConcept!$F$5:$F$22,ChurchConcept!$J$5:$J$22,R$3,ChurchConcept!$A$5:$A$22,$A6)</f>
        <v>0</v>
      </c>
      <c r="S6" s="41">
        <f>SUMIFS(ChurchConcept!$F$5:$F$22,ChurchConcept!$J$5:$J$22,S$3,ChurchConcept!$A$5:$A$22,$A6)</f>
        <v>0</v>
      </c>
      <c r="T6" s="42">
        <f t="shared" si="0"/>
        <v>0</v>
      </c>
    </row>
    <row r="7" spans="1:20" ht="15" x14ac:dyDescent="0.25">
      <c r="A7" s="40" t="str">
        <f>CapitalGroups!A7</f>
        <v>Parking Lot</v>
      </c>
      <c r="B7" s="41">
        <f>SUMIFS(ChurchConcept!$F$5:$F$22,ChurchConcept!$J$5:$J$22,B$3,ChurchConcept!$A$5:$A$22,$A7)</f>
        <v>0</v>
      </c>
      <c r="C7" s="41">
        <f>SUMIFS(ChurchConcept!$F$5:$F$22,ChurchConcept!$J$5:$J$22,C$3,ChurchConcept!$A$5:$A$22,$A7)</f>
        <v>0</v>
      </c>
      <c r="D7" s="41">
        <f>SUMIFS(ChurchConcept!$F$5:$F$22,ChurchConcept!$J$5:$J$22,D$3,ChurchConcept!$A$5:$A$22,$A7)</f>
        <v>0</v>
      </c>
      <c r="E7" s="41">
        <f>SUMIFS(ChurchConcept!$F$5:$F$22,ChurchConcept!$J$5:$J$22,E$3,ChurchConcept!$A$5:$A$22,$A7)</f>
        <v>0</v>
      </c>
      <c r="F7" s="41">
        <f>SUMIFS(ChurchConcept!$F$5:$F$22,ChurchConcept!$J$5:$J$22,F$3,ChurchConcept!$A$5:$A$22,$A7)</f>
        <v>0</v>
      </c>
      <c r="G7" s="41">
        <f>SUMIFS(ChurchConcept!$F$5:$F$22,ChurchConcept!$J$5:$J$22,G$3,ChurchConcept!$A$5:$A$22,$A7)</f>
        <v>0</v>
      </c>
      <c r="H7" s="41">
        <f>SUMIFS(ChurchConcept!$F$5:$F$22,ChurchConcept!$J$5:$J$22,H$3,ChurchConcept!$A$5:$A$22,$A7)</f>
        <v>0</v>
      </c>
      <c r="I7" s="41">
        <f>SUMIFS(ChurchConcept!$F$5:$F$22,ChurchConcept!$J$5:$J$22,I$3,ChurchConcept!$A$5:$A$22,$A7)</f>
        <v>0</v>
      </c>
      <c r="J7" s="41">
        <f>SUMIFS(ChurchConcept!$F$5:$F$22,ChurchConcept!$J$5:$J$22,J$3,ChurchConcept!$A$5:$A$22,$A7)</f>
        <v>0</v>
      </c>
      <c r="K7" s="41">
        <f>SUMIFS(ChurchConcept!$F$5:$F$22,ChurchConcept!$J$5:$J$22,K$3,ChurchConcept!$A$5:$A$22,$A7)</f>
        <v>0</v>
      </c>
      <c r="L7" s="41">
        <f>SUMIFS(ChurchConcept!$F$5:$F$22,ChurchConcept!$J$5:$J$22,L$3,ChurchConcept!$A$5:$A$22,$A7)</f>
        <v>0</v>
      </c>
      <c r="M7" s="41">
        <f>SUMIFS(ChurchConcept!$F$5:$F$22,ChurchConcept!$J$5:$J$22,M$3,ChurchConcept!$A$5:$A$22,$A7)</f>
        <v>0</v>
      </c>
      <c r="N7" s="41">
        <f>SUMIFS(ChurchConcept!$F$5:$F$22,ChurchConcept!$J$5:$J$22,N$3,ChurchConcept!$A$5:$A$22,$A7)</f>
        <v>0</v>
      </c>
      <c r="O7" s="41">
        <f>SUMIFS(ChurchConcept!$F$5:$F$22,ChurchConcept!$J$5:$J$22,O$3,ChurchConcept!$A$5:$A$22,$A7)</f>
        <v>0</v>
      </c>
      <c r="P7" s="41">
        <f>SUMIFS(ChurchConcept!$F$5:$F$22,ChurchConcept!$J$5:$J$22,P$3,ChurchConcept!$A$5:$A$22,$A7)</f>
        <v>0</v>
      </c>
      <c r="Q7" s="41">
        <f>SUMIFS(ChurchConcept!$F$5:$F$22,ChurchConcept!$J$5:$J$22,Q$3,ChurchConcept!$A$5:$A$22,$A7)</f>
        <v>0</v>
      </c>
      <c r="R7" s="41">
        <f>SUMIFS(ChurchConcept!$F$5:$F$22,ChurchConcept!$J$5:$J$22,R$3,ChurchConcept!$A$5:$A$22,$A7)</f>
        <v>0</v>
      </c>
      <c r="S7" s="41">
        <f>SUMIFS(ChurchConcept!$F$5:$F$22,ChurchConcept!$J$5:$J$22,S$3,ChurchConcept!$A$5:$A$22,$A7)</f>
        <v>0</v>
      </c>
      <c r="T7" s="42">
        <f t="shared" si="0"/>
        <v>0</v>
      </c>
    </row>
    <row r="8" spans="1:20" ht="15" x14ac:dyDescent="0.25">
      <c r="A8" s="40" t="str">
        <f>CapitalGroups!A8</f>
        <v>Vehicles</v>
      </c>
      <c r="B8" s="41">
        <f>SUMIFS(ChurchConcept!$F$5:$F$22,ChurchConcept!$J$5:$J$22,B$3,ChurchConcept!$A$5:$A$22,$A8)</f>
        <v>0</v>
      </c>
      <c r="C8" s="41">
        <f>SUMIFS(ChurchConcept!$F$5:$F$22,ChurchConcept!$J$5:$J$22,C$3,ChurchConcept!$A$5:$A$22,$A8)</f>
        <v>0</v>
      </c>
      <c r="D8" s="41">
        <f>SUMIFS(ChurchConcept!$F$5:$F$22,ChurchConcept!$J$5:$J$22,D$3,ChurchConcept!$A$5:$A$22,$A8)</f>
        <v>0</v>
      </c>
      <c r="E8" s="41">
        <f>SUMIFS(ChurchConcept!$F$5:$F$22,ChurchConcept!$J$5:$J$22,E$3,ChurchConcept!$A$5:$A$22,$A8)</f>
        <v>0</v>
      </c>
      <c r="F8" s="41">
        <f>SUMIFS(ChurchConcept!$F$5:$F$22,ChurchConcept!$J$5:$J$22,F$3,ChurchConcept!$A$5:$A$22,$A8)</f>
        <v>0</v>
      </c>
      <c r="G8" s="41">
        <f>SUMIFS(ChurchConcept!$F$5:$F$22,ChurchConcept!$J$5:$J$22,G$3,ChurchConcept!$A$5:$A$22,$A8)</f>
        <v>0</v>
      </c>
      <c r="H8" s="41">
        <f>SUMIFS(ChurchConcept!$F$5:$F$22,ChurchConcept!$J$5:$J$22,H$3,ChurchConcept!$A$5:$A$22,$A8)</f>
        <v>0</v>
      </c>
      <c r="I8" s="41">
        <f>SUMIFS(ChurchConcept!$F$5:$F$22,ChurchConcept!$J$5:$J$22,I$3,ChurchConcept!$A$5:$A$22,$A8)</f>
        <v>0</v>
      </c>
      <c r="J8" s="41">
        <f>SUMIFS(ChurchConcept!$F$5:$F$22,ChurchConcept!$J$5:$J$22,J$3,ChurchConcept!$A$5:$A$22,$A8)</f>
        <v>0</v>
      </c>
      <c r="K8" s="41">
        <f>SUMIFS(ChurchConcept!$F$5:$F$22,ChurchConcept!$J$5:$J$22,K$3,ChurchConcept!$A$5:$A$22,$A8)</f>
        <v>0</v>
      </c>
      <c r="L8" s="41">
        <f>SUMIFS(ChurchConcept!$F$5:$F$22,ChurchConcept!$J$5:$J$22,L$3,ChurchConcept!$A$5:$A$22,$A8)</f>
        <v>0</v>
      </c>
      <c r="M8" s="41">
        <f>SUMIFS(ChurchConcept!$F$5:$F$22,ChurchConcept!$J$5:$J$22,M$3,ChurchConcept!$A$5:$A$22,$A8)</f>
        <v>0</v>
      </c>
      <c r="N8" s="41">
        <f>SUMIFS(ChurchConcept!$F$5:$F$22,ChurchConcept!$J$5:$J$22,N$3,ChurchConcept!$A$5:$A$22,$A8)</f>
        <v>0</v>
      </c>
      <c r="O8" s="41">
        <f>SUMIFS(ChurchConcept!$F$5:$F$22,ChurchConcept!$J$5:$J$22,O$3,ChurchConcept!$A$5:$A$22,$A8)</f>
        <v>0</v>
      </c>
      <c r="P8" s="41">
        <f>SUMIFS(ChurchConcept!$F$5:$F$22,ChurchConcept!$J$5:$J$22,P$3,ChurchConcept!$A$5:$A$22,$A8)</f>
        <v>0</v>
      </c>
      <c r="Q8" s="41">
        <f>SUMIFS(ChurchConcept!$F$5:$F$22,ChurchConcept!$J$5:$J$22,Q$3,ChurchConcept!$A$5:$A$22,$A8)</f>
        <v>0</v>
      </c>
      <c r="R8" s="41">
        <f>SUMIFS(ChurchConcept!$F$5:$F$22,ChurchConcept!$J$5:$J$22,R$3,ChurchConcept!$A$5:$A$22,$A8)</f>
        <v>0</v>
      </c>
      <c r="S8" s="41">
        <f>SUMIFS(ChurchConcept!$F$5:$F$22,ChurchConcept!$J$5:$J$22,S$3,ChurchConcept!$A$5:$A$22,$A8)</f>
        <v>0</v>
      </c>
      <c r="T8" s="42">
        <f t="shared" si="0"/>
        <v>0</v>
      </c>
    </row>
    <row r="9" spans="1:20" ht="15" x14ac:dyDescent="0.25">
      <c r="A9" s="40">
        <f>CapitalGroups!A9</f>
        <v>0</v>
      </c>
      <c r="B9" s="41">
        <f>SUMIFS(ChurchConcept!$F$5:$F$22,ChurchConcept!$J$5:$J$22,B$3,ChurchConcept!$A$5:$A$22,$A9)</f>
        <v>0</v>
      </c>
      <c r="C9" s="41">
        <f>SUMIFS(ChurchConcept!$F$5:$F$22,ChurchConcept!$J$5:$J$22,C$3,ChurchConcept!$A$5:$A$22,$A9)</f>
        <v>0</v>
      </c>
      <c r="D9" s="41">
        <f>SUMIFS(ChurchConcept!$F$5:$F$22,ChurchConcept!$J$5:$J$22,D$3,ChurchConcept!$A$5:$A$22,$A9)</f>
        <v>0</v>
      </c>
      <c r="E9" s="41">
        <f>SUMIFS(ChurchConcept!$F$5:$F$22,ChurchConcept!$J$5:$J$22,E$3,ChurchConcept!$A$5:$A$22,$A9)</f>
        <v>0</v>
      </c>
      <c r="F9" s="41">
        <f>SUMIFS(ChurchConcept!$F$5:$F$22,ChurchConcept!$J$5:$J$22,F$3,ChurchConcept!$A$5:$A$22,$A9)</f>
        <v>0</v>
      </c>
      <c r="G9" s="41">
        <f>SUMIFS(ChurchConcept!$F$5:$F$22,ChurchConcept!$J$5:$J$22,G$3,ChurchConcept!$A$5:$A$22,$A9)</f>
        <v>0</v>
      </c>
      <c r="H9" s="41">
        <f>SUMIFS(ChurchConcept!$F$5:$F$22,ChurchConcept!$J$5:$J$22,H$3,ChurchConcept!$A$5:$A$22,$A9)</f>
        <v>0</v>
      </c>
      <c r="I9" s="41">
        <f>SUMIFS(ChurchConcept!$F$5:$F$22,ChurchConcept!$J$5:$J$22,I$3,ChurchConcept!$A$5:$A$22,$A9)</f>
        <v>0</v>
      </c>
      <c r="J9" s="41">
        <f>SUMIFS(ChurchConcept!$F$5:$F$22,ChurchConcept!$J$5:$J$22,J$3,ChurchConcept!$A$5:$A$22,$A9)</f>
        <v>0</v>
      </c>
      <c r="K9" s="41">
        <f>SUMIFS(ChurchConcept!$F$5:$F$22,ChurchConcept!$J$5:$J$22,K$3,ChurchConcept!$A$5:$A$22,$A9)</f>
        <v>0</v>
      </c>
      <c r="L9" s="41">
        <f>SUMIFS(ChurchConcept!$F$5:$F$22,ChurchConcept!$J$5:$J$22,L$3,ChurchConcept!$A$5:$A$22,$A9)</f>
        <v>0</v>
      </c>
      <c r="M9" s="41">
        <f>SUMIFS(ChurchConcept!$F$5:$F$22,ChurchConcept!$J$5:$J$22,M$3,ChurchConcept!$A$5:$A$22,$A9)</f>
        <v>0</v>
      </c>
      <c r="N9" s="41">
        <f>SUMIFS(ChurchConcept!$F$5:$F$22,ChurchConcept!$J$5:$J$22,N$3,ChurchConcept!$A$5:$A$22,$A9)</f>
        <v>0</v>
      </c>
      <c r="O9" s="41">
        <f>SUMIFS(ChurchConcept!$F$5:$F$22,ChurchConcept!$J$5:$J$22,O$3,ChurchConcept!$A$5:$A$22,$A9)</f>
        <v>0</v>
      </c>
      <c r="P9" s="41">
        <f>SUMIFS(ChurchConcept!$F$5:$F$22,ChurchConcept!$J$5:$J$22,P$3,ChurchConcept!$A$5:$A$22,$A9)</f>
        <v>0</v>
      </c>
      <c r="Q9" s="41">
        <f>SUMIFS(ChurchConcept!$F$5:$F$22,ChurchConcept!$J$5:$J$22,Q$3,ChurchConcept!$A$5:$A$22,$A9)</f>
        <v>0</v>
      </c>
      <c r="R9" s="41">
        <f>SUMIFS(ChurchConcept!$F$5:$F$22,ChurchConcept!$J$5:$J$22,R$3,ChurchConcept!$A$5:$A$22,$A9)</f>
        <v>0</v>
      </c>
      <c r="S9" s="41">
        <f>SUMIFS(ChurchConcept!$F$5:$F$22,ChurchConcept!$J$5:$J$22,S$3,ChurchConcept!$A$5:$A$22,$A9)</f>
        <v>0</v>
      </c>
      <c r="T9" s="42">
        <f t="shared" si="0"/>
        <v>0</v>
      </c>
    </row>
    <row r="10" spans="1:20" ht="15" x14ac:dyDescent="0.25">
      <c r="A10" s="40">
        <f>CapitalGroups!A10</f>
        <v>0</v>
      </c>
      <c r="B10" s="41">
        <f>SUMIFS(ChurchConcept!$F$5:$F$22,ChurchConcept!$J$5:$J$22,B$3,ChurchConcept!$A$5:$A$22,$A10)</f>
        <v>0</v>
      </c>
      <c r="C10" s="41">
        <f>SUMIFS(ChurchConcept!$F$5:$F$22,ChurchConcept!$J$5:$J$22,C$3,ChurchConcept!$A$5:$A$22,$A10)</f>
        <v>0</v>
      </c>
      <c r="D10" s="41">
        <f>SUMIFS(ChurchConcept!$F$5:$F$22,ChurchConcept!$J$5:$J$22,D$3,ChurchConcept!$A$5:$A$22,$A10)</f>
        <v>0</v>
      </c>
      <c r="E10" s="41">
        <f>SUMIFS(ChurchConcept!$F$5:$F$22,ChurchConcept!$J$5:$J$22,E$3,ChurchConcept!$A$5:$A$22,$A10)</f>
        <v>0</v>
      </c>
      <c r="F10" s="41">
        <f>SUMIFS(ChurchConcept!$F$5:$F$22,ChurchConcept!$J$5:$J$22,F$3,ChurchConcept!$A$5:$A$22,$A10)</f>
        <v>0</v>
      </c>
      <c r="G10" s="41">
        <f>SUMIFS(ChurchConcept!$F$5:$F$22,ChurchConcept!$J$5:$J$22,G$3,ChurchConcept!$A$5:$A$22,$A10)</f>
        <v>0</v>
      </c>
      <c r="H10" s="41">
        <f>SUMIFS(ChurchConcept!$F$5:$F$22,ChurchConcept!$J$5:$J$22,H$3,ChurchConcept!$A$5:$A$22,$A10)</f>
        <v>0</v>
      </c>
      <c r="I10" s="41">
        <f>SUMIFS(ChurchConcept!$F$5:$F$22,ChurchConcept!$J$5:$J$22,I$3,ChurchConcept!$A$5:$A$22,$A10)</f>
        <v>0</v>
      </c>
      <c r="J10" s="41">
        <f>SUMIFS(ChurchConcept!$F$5:$F$22,ChurchConcept!$J$5:$J$22,J$3,ChurchConcept!$A$5:$A$22,$A10)</f>
        <v>0</v>
      </c>
      <c r="K10" s="41">
        <f>SUMIFS(ChurchConcept!$F$5:$F$22,ChurchConcept!$J$5:$J$22,K$3,ChurchConcept!$A$5:$A$22,$A10)</f>
        <v>0</v>
      </c>
      <c r="L10" s="41">
        <f>SUMIFS(ChurchConcept!$F$5:$F$22,ChurchConcept!$J$5:$J$22,L$3,ChurchConcept!$A$5:$A$22,$A10)</f>
        <v>0</v>
      </c>
      <c r="M10" s="41">
        <f>SUMIFS(ChurchConcept!$F$5:$F$22,ChurchConcept!$J$5:$J$22,M$3,ChurchConcept!$A$5:$A$22,$A10)</f>
        <v>0</v>
      </c>
      <c r="N10" s="41">
        <f>SUMIFS(ChurchConcept!$F$5:$F$22,ChurchConcept!$J$5:$J$22,N$3,ChurchConcept!$A$5:$A$22,$A10)</f>
        <v>0</v>
      </c>
      <c r="O10" s="41">
        <f>SUMIFS(ChurchConcept!$F$5:$F$22,ChurchConcept!$J$5:$J$22,O$3,ChurchConcept!$A$5:$A$22,$A10)</f>
        <v>0</v>
      </c>
      <c r="P10" s="41">
        <f>SUMIFS(ChurchConcept!$F$5:$F$22,ChurchConcept!$J$5:$J$22,P$3,ChurchConcept!$A$5:$A$22,$A10)</f>
        <v>0</v>
      </c>
      <c r="Q10" s="41">
        <f>SUMIFS(ChurchConcept!$F$5:$F$22,ChurchConcept!$J$5:$J$22,Q$3,ChurchConcept!$A$5:$A$22,$A10)</f>
        <v>0</v>
      </c>
      <c r="R10" s="41">
        <f>SUMIFS(ChurchConcept!$F$5:$F$22,ChurchConcept!$J$5:$J$22,R$3,ChurchConcept!$A$5:$A$22,$A10)</f>
        <v>0</v>
      </c>
      <c r="S10" s="41">
        <f>SUMIFS(ChurchConcept!$F$5:$F$22,ChurchConcept!$J$5:$J$22,S$3,ChurchConcept!$A$5:$A$22,$A10)</f>
        <v>0</v>
      </c>
      <c r="T10" s="42">
        <f t="shared" si="0"/>
        <v>0</v>
      </c>
    </row>
    <row r="11" spans="1:20" ht="15" x14ac:dyDescent="0.25">
      <c r="A11" s="40">
        <f>CapitalGroups!A11</f>
        <v>0</v>
      </c>
      <c r="B11" s="41">
        <f>SUMIFS(ChurchConcept!$F$5:$F$22,ChurchConcept!$J$5:$J$22,B$3,ChurchConcept!$A$5:$A$22,$A11)</f>
        <v>0</v>
      </c>
      <c r="C11" s="41">
        <f>SUMIFS(ChurchConcept!$F$5:$F$22,ChurchConcept!$J$5:$J$22,C$3,ChurchConcept!$A$5:$A$22,$A11)</f>
        <v>0</v>
      </c>
      <c r="D11" s="41">
        <f>SUMIFS(ChurchConcept!$F$5:$F$22,ChurchConcept!$J$5:$J$22,D$3,ChurchConcept!$A$5:$A$22,$A11)</f>
        <v>0</v>
      </c>
      <c r="E11" s="41">
        <f>SUMIFS(ChurchConcept!$F$5:$F$22,ChurchConcept!$J$5:$J$22,E$3,ChurchConcept!$A$5:$A$22,$A11)</f>
        <v>0</v>
      </c>
      <c r="F11" s="41">
        <f>SUMIFS(ChurchConcept!$F$5:$F$22,ChurchConcept!$J$5:$J$22,F$3,ChurchConcept!$A$5:$A$22,$A11)</f>
        <v>0</v>
      </c>
      <c r="G11" s="41">
        <f>SUMIFS(ChurchConcept!$F$5:$F$22,ChurchConcept!$J$5:$J$22,G$3,ChurchConcept!$A$5:$A$22,$A11)</f>
        <v>0</v>
      </c>
      <c r="H11" s="41">
        <f>SUMIFS(ChurchConcept!$F$5:$F$22,ChurchConcept!$J$5:$J$22,H$3,ChurchConcept!$A$5:$A$22,$A11)</f>
        <v>0</v>
      </c>
      <c r="I11" s="41">
        <f>SUMIFS(ChurchConcept!$F$5:$F$22,ChurchConcept!$J$5:$J$22,I$3,ChurchConcept!$A$5:$A$22,$A11)</f>
        <v>0</v>
      </c>
      <c r="J11" s="41">
        <f>SUMIFS(ChurchConcept!$F$5:$F$22,ChurchConcept!$J$5:$J$22,J$3,ChurchConcept!$A$5:$A$22,$A11)</f>
        <v>0</v>
      </c>
      <c r="K11" s="41">
        <f>SUMIFS(ChurchConcept!$F$5:$F$22,ChurchConcept!$J$5:$J$22,K$3,ChurchConcept!$A$5:$A$22,$A11)</f>
        <v>0</v>
      </c>
      <c r="L11" s="41">
        <f>SUMIFS(ChurchConcept!$F$5:$F$22,ChurchConcept!$J$5:$J$22,L$3,ChurchConcept!$A$5:$A$22,$A11)</f>
        <v>0</v>
      </c>
      <c r="M11" s="41">
        <f>SUMIFS(ChurchConcept!$F$5:$F$22,ChurchConcept!$J$5:$J$22,M$3,ChurchConcept!$A$5:$A$22,$A11)</f>
        <v>0</v>
      </c>
      <c r="N11" s="41">
        <f>SUMIFS(ChurchConcept!$F$5:$F$22,ChurchConcept!$J$5:$J$22,N$3,ChurchConcept!$A$5:$A$22,$A11)</f>
        <v>0</v>
      </c>
      <c r="O11" s="41">
        <f>SUMIFS(ChurchConcept!$F$5:$F$22,ChurchConcept!$J$5:$J$22,O$3,ChurchConcept!$A$5:$A$22,$A11)</f>
        <v>0</v>
      </c>
      <c r="P11" s="41">
        <f>SUMIFS(ChurchConcept!$F$5:$F$22,ChurchConcept!$J$5:$J$22,P$3,ChurchConcept!$A$5:$A$22,$A11)</f>
        <v>0</v>
      </c>
      <c r="Q11" s="41">
        <f>SUMIFS(ChurchConcept!$F$5:$F$22,ChurchConcept!$J$5:$J$22,Q$3,ChurchConcept!$A$5:$A$22,$A11)</f>
        <v>0</v>
      </c>
      <c r="R11" s="41">
        <f>SUMIFS(ChurchConcept!$F$5:$F$22,ChurchConcept!$J$5:$J$22,R$3,ChurchConcept!$A$5:$A$22,$A11)</f>
        <v>0</v>
      </c>
      <c r="S11" s="41">
        <f>SUMIFS(ChurchConcept!$F$5:$F$22,ChurchConcept!$J$5:$J$22,S$3,ChurchConcept!$A$5:$A$22,$A11)</f>
        <v>0</v>
      </c>
      <c r="T11" s="42">
        <f t="shared" si="0"/>
        <v>0</v>
      </c>
    </row>
    <row r="12" spans="1:20" ht="15" x14ac:dyDescent="0.25">
      <c r="A12" s="40">
        <f>CapitalGroups!A12</f>
        <v>0</v>
      </c>
      <c r="B12" s="41">
        <f>SUMIFS(ChurchConcept!$F$5:$F$22,ChurchConcept!$J$5:$J$22,B$3,ChurchConcept!$A$5:$A$22,$A12)</f>
        <v>0</v>
      </c>
      <c r="C12" s="41">
        <f>SUMIFS(ChurchConcept!$F$5:$F$22,ChurchConcept!$J$5:$J$22,C$3,ChurchConcept!$A$5:$A$22,$A12)</f>
        <v>0</v>
      </c>
      <c r="D12" s="41">
        <f>SUMIFS(ChurchConcept!$F$5:$F$22,ChurchConcept!$J$5:$J$22,D$3,ChurchConcept!$A$5:$A$22,$A12)</f>
        <v>0</v>
      </c>
      <c r="E12" s="41">
        <f>SUMIFS(ChurchConcept!$F$5:$F$22,ChurchConcept!$J$5:$J$22,E$3,ChurchConcept!$A$5:$A$22,$A12)</f>
        <v>0</v>
      </c>
      <c r="F12" s="41">
        <f>SUMIFS(ChurchConcept!$F$5:$F$22,ChurchConcept!$J$5:$J$22,F$3,ChurchConcept!$A$5:$A$22,$A12)</f>
        <v>0</v>
      </c>
      <c r="G12" s="41">
        <f>SUMIFS(ChurchConcept!$F$5:$F$22,ChurchConcept!$J$5:$J$22,G$3,ChurchConcept!$A$5:$A$22,$A12)</f>
        <v>0</v>
      </c>
      <c r="H12" s="41">
        <f>SUMIFS(ChurchConcept!$F$5:$F$22,ChurchConcept!$J$5:$J$22,H$3,ChurchConcept!$A$5:$A$22,$A12)</f>
        <v>0</v>
      </c>
      <c r="I12" s="41">
        <f>SUMIFS(ChurchConcept!$F$5:$F$22,ChurchConcept!$J$5:$J$22,I$3,ChurchConcept!$A$5:$A$22,$A12)</f>
        <v>0</v>
      </c>
      <c r="J12" s="41">
        <f>SUMIFS(ChurchConcept!$F$5:$F$22,ChurchConcept!$J$5:$J$22,J$3,ChurchConcept!$A$5:$A$22,$A12)</f>
        <v>0</v>
      </c>
      <c r="K12" s="41">
        <f>SUMIFS(ChurchConcept!$F$5:$F$22,ChurchConcept!$J$5:$J$22,K$3,ChurchConcept!$A$5:$A$22,$A12)</f>
        <v>0</v>
      </c>
      <c r="L12" s="41">
        <f>SUMIFS(ChurchConcept!$F$5:$F$22,ChurchConcept!$J$5:$J$22,L$3,ChurchConcept!$A$5:$A$22,$A12)</f>
        <v>0</v>
      </c>
      <c r="M12" s="41">
        <f>SUMIFS(ChurchConcept!$F$5:$F$22,ChurchConcept!$J$5:$J$22,M$3,ChurchConcept!$A$5:$A$22,$A12)</f>
        <v>0</v>
      </c>
      <c r="N12" s="41">
        <f>SUMIFS(ChurchConcept!$F$5:$F$22,ChurchConcept!$J$5:$J$22,N$3,ChurchConcept!$A$5:$A$22,$A12)</f>
        <v>0</v>
      </c>
      <c r="O12" s="41">
        <f>SUMIFS(ChurchConcept!$F$5:$F$22,ChurchConcept!$J$5:$J$22,O$3,ChurchConcept!$A$5:$A$22,$A12)</f>
        <v>0</v>
      </c>
      <c r="P12" s="41">
        <f>SUMIFS(ChurchConcept!$F$5:$F$22,ChurchConcept!$J$5:$J$22,P$3,ChurchConcept!$A$5:$A$22,$A12)</f>
        <v>0</v>
      </c>
      <c r="Q12" s="41">
        <f>SUMIFS(ChurchConcept!$F$5:$F$22,ChurchConcept!$J$5:$J$22,Q$3,ChurchConcept!$A$5:$A$22,$A12)</f>
        <v>0</v>
      </c>
      <c r="R12" s="41">
        <f>SUMIFS(ChurchConcept!$F$5:$F$22,ChurchConcept!$J$5:$J$22,R$3,ChurchConcept!$A$5:$A$22,$A12)</f>
        <v>0</v>
      </c>
      <c r="S12" s="41">
        <f>SUMIFS(ChurchConcept!$F$5:$F$22,ChurchConcept!$J$5:$J$22,S$3,ChurchConcept!$A$5:$A$22,$A12)</f>
        <v>0</v>
      </c>
      <c r="T12" s="42">
        <f t="shared" si="0"/>
        <v>0</v>
      </c>
    </row>
    <row r="13" spans="1:20" ht="15" x14ac:dyDescent="0.25">
      <c r="A13" s="40">
        <f>CapitalGroups!A13</f>
        <v>0</v>
      </c>
      <c r="B13" s="41">
        <f>SUMIFS(ChurchConcept!$F$5:$F$22,ChurchConcept!$J$5:$J$22,B$3,ChurchConcept!$A$5:$A$22,$A13)</f>
        <v>0</v>
      </c>
      <c r="C13" s="41">
        <f>SUMIFS(ChurchConcept!$F$5:$F$22,ChurchConcept!$J$5:$J$22,C$3,ChurchConcept!$A$5:$A$22,$A13)</f>
        <v>0</v>
      </c>
      <c r="D13" s="41">
        <f>SUMIFS(ChurchConcept!$F$5:$F$22,ChurchConcept!$J$5:$J$22,D$3,ChurchConcept!$A$5:$A$22,$A13)</f>
        <v>0</v>
      </c>
      <c r="E13" s="41">
        <f>SUMIFS(ChurchConcept!$F$5:$F$22,ChurchConcept!$J$5:$J$22,E$3,ChurchConcept!$A$5:$A$22,$A13)</f>
        <v>0</v>
      </c>
      <c r="F13" s="41">
        <f>SUMIFS(ChurchConcept!$F$5:$F$22,ChurchConcept!$J$5:$J$22,F$3,ChurchConcept!$A$5:$A$22,$A13)</f>
        <v>0</v>
      </c>
      <c r="G13" s="41">
        <f>SUMIFS(ChurchConcept!$F$5:$F$22,ChurchConcept!$J$5:$J$22,G$3,ChurchConcept!$A$5:$A$22,$A13)</f>
        <v>0</v>
      </c>
      <c r="H13" s="41">
        <f>SUMIFS(ChurchConcept!$F$5:$F$22,ChurchConcept!$J$5:$J$22,H$3,ChurchConcept!$A$5:$A$22,$A13)</f>
        <v>0</v>
      </c>
      <c r="I13" s="41">
        <f>SUMIFS(ChurchConcept!$F$5:$F$22,ChurchConcept!$J$5:$J$22,I$3,ChurchConcept!$A$5:$A$22,$A13)</f>
        <v>0</v>
      </c>
      <c r="J13" s="41">
        <f>SUMIFS(ChurchConcept!$F$5:$F$22,ChurchConcept!$J$5:$J$22,J$3,ChurchConcept!$A$5:$A$22,$A13)</f>
        <v>0</v>
      </c>
      <c r="K13" s="41">
        <f>SUMIFS(ChurchConcept!$F$5:$F$22,ChurchConcept!$J$5:$J$22,K$3,ChurchConcept!$A$5:$A$22,$A13)</f>
        <v>0</v>
      </c>
      <c r="L13" s="41">
        <f>SUMIFS(ChurchConcept!$F$5:$F$22,ChurchConcept!$J$5:$J$22,L$3,ChurchConcept!$A$5:$A$22,$A13)</f>
        <v>0</v>
      </c>
      <c r="M13" s="41">
        <f>SUMIFS(ChurchConcept!$F$5:$F$22,ChurchConcept!$J$5:$J$22,M$3,ChurchConcept!$A$5:$A$22,$A13)</f>
        <v>0</v>
      </c>
      <c r="N13" s="41">
        <f>SUMIFS(ChurchConcept!$F$5:$F$22,ChurchConcept!$J$5:$J$22,N$3,ChurchConcept!$A$5:$A$22,$A13)</f>
        <v>0</v>
      </c>
      <c r="O13" s="41">
        <f>SUMIFS(ChurchConcept!$F$5:$F$22,ChurchConcept!$J$5:$J$22,O$3,ChurchConcept!$A$5:$A$22,$A13)</f>
        <v>0</v>
      </c>
      <c r="P13" s="41">
        <f>SUMIFS(ChurchConcept!$F$5:$F$22,ChurchConcept!$J$5:$J$22,P$3,ChurchConcept!$A$5:$A$22,$A13)</f>
        <v>0</v>
      </c>
      <c r="Q13" s="41">
        <f>SUMIFS(ChurchConcept!$F$5:$F$22,ChurchConcept!$J$5:$J$22,Q$3,ChurchConcept!$A$5:$A$22,$A13)</f>
        <v>0</v>
      </c>
      <c r="R13" s="41">
        <f>SUMIFS(ChurchConcept!$F$5:$F$22,ChurchConcept!$J$5:$J$22,R$3,ChurchConcept!$A$5:$A$22,$A13)</f>
        <v>0</v>
      </c>
      <c r="S13" s="41">
        <f>SUMIFS(ChurchConcept!$F$5:$F$22,ChurchConcept!$J$5:$J$22,S$3,ChurchConcept!$A$5:$A$22,$A13)</f>
        <v>0</v>
      </c>
      <c r="T13" s="42">
        <f t="shared" si="0"/>
        <v>0</v>
      </c>
    </row>
    <row r="14" spans="1:20" ht="15" x14ac:dyDescent="0.25">
      <c r="A14"/>
      <c r="B14" s="25"/>
      <c r="C14" s="25"/>
      <c r="D14" s="25"/>
      <c r="E14" s="25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ht="15.75" thickBot="1" x14ac:dyDescent="0.3">
      <c r="A15"/>
      <c r="B15" s="31">
        <f t="shared" ref="B15:T15" si="1">SUM(B4:B14)</f>
        <v>36713.342836289099</v>
      </c>
      <c r="C15" s="31">
        <f t="shared" si="1"/>
        <v>0</v>
      </c>
      <c r="D15" s="31">
        <f t="shared" si="1"/>
        <v>247716.81923952157</v>
      </c>
      <c r="E15" s="31">
        <f t="shared" si="1"/>
        <v>32459.674080399996</v>
      </c>
      <c r="F15" s="31">
        <f t="shared" si="1"/>
        <v>0</v>
      </c>
      <c r="G15" s="31">
        <f t="shared" si="1"/>
        <v>0</v>
      </c>
      <c r="H15" s="31">
        <f t="shared" si="1"/>
        <v>0</v>
      </c>
      <c r="I15" s="31">
        <f t="shared" si="1"/>
        <v>57795.559509421226</v>
      </c>
      <c r="J15" s="31">
        <f t="shared" si="1"/>
        <v>0</v>
      </c>
      <c r="K15" s="31">
        <f t="shared" si="1"/>
        <v>0</v>
      </c>
      <c r="L15" s="31">
        <f t="shared" si="1"/>
        <v>18695.608999209173</v>
      </c>
      <c r="M15" s="31">
        <f t="shared" si="1"/>
        <v>0</v>
      </c>
      <c r="N15" s="31">
        <f t="shared" si="1"/>
        <v>196815.12538749611</v>
      </c>
      <c r="O15" s="31">
        <f t="shared" si="1"/>
        <v>122815.56395752011</v>
      </c>
      <c r="P15" s="31">
        <f t="shared" si="1"/>
        <v>0</v>
      </c>
      <c r="Q15" s="31">
        <f t="shared" si="1"/>
        <v>563506.70521685691</v>
      </c>
      <c r="R15" s="31">
        <f t="shared" si="1"/>
        <v>0</v>
      </c>
      <c r="S15" s="31">
        <f t="shared" si="1"/>
        <v>0</v>
      </c>
      <c r="T15" s="31">
        <f t="shared" si="1"/>
        <v>1276518.3992267142</v>
      </c>
    </row>
    <row r="16" spans="1:20" ht="15" thickTop="1" x14ac:dyDescent="0.2"/>
  </sheetData>
  <printOptions horizontalCentered="1"/>
  <pageMargins left="0.5" right="0.5" top="0.5" bottom="0.5" header="0.3" footer="0.25"/>
  <pageSetup orientation="portrait" verticalDpi="0"/>
  <headerFooter>
    <oddFooter>&amp;L&amp;"Arial,Regular"&amp;9&amp;D&amp;R&amp;"Arial,Regular"&amp;9&amp;F / &amp;A</oddFooter>
  </headerFooter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ChurchConcept</vt:lpstr>
      <vt:lpstr>CapitalGroups</vt:lpstr>
      <vt:lpstr>Summary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Wood</dc:creator>
  <cp:keywords>Tim Cool, Life Cycle, Capital Reserve,</cp:keywords>
  <cp:lastModifiedBy>tim</cp:lastModifiedBy>
  <dcterms:created xsi:type="dcterms:W3CDTF">2011-12-02T21:43:31Z</dcterms:created>
  <dcterms:modified xsi:type="dcterms:W3CDTF">2014-05-30T11:55:21Z</dcterms:modified>
</cp:coreProperties>
</file>